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32914" windowHeight="14263"/>
  </bookViews>
  <sheets>
    <sheet name="для размещения на сайте" sheetId="1" r:id="rId1"/>
  </sheets>
  <definedNames>
    <definedName name="_xlnm._FilterDatabase" localSheetId="0" hidden="1">'для размещения на сайте'!$A$4:$U$47</definedName>
    <definedName name="_xlnm.Print_Area" localSheetId="0">'для размещения на сайте'!$A$1:$U$41</definedName>
  </definedNames>
  <calcPr calcId="162913"/>
</workbook>
</file>

<file path=xl/calcChain.xml><?xml version="1.0" encoding="utf-8"?>
<calcChain xmlns="http://schemas.openxmlformats.org/spreadsheetml/2006/main">
  <c r="L19" i="1" l="1"/>
  <c r="L18" i="1"/>
  <c r="L17" i="1"/>
  <c r="L16" i="1"/>
  <c r="L15" i="1"/>
  <c r="L14" i="1"/>
  <c r="L13" i="1"/>
  <c r="L12" i="1"/>
  <c r="L11" i="1"/>
  <c r="K19" i="1"/>
  <c r="K18" i="1"/>
  <c r="K17" i="1"/>
  <c r="K16" i="1"/>
  <c r="K15" i="1"/>
  <c r="K14" i="1"/>
  <c r="K13" i="1"/>
  <c r="K12" i="1"/>
  <c r="K11" i="1"/>
  <c r="J21" i="1" l="1"/>
  <c r="S20" i="1"/>
  <c r="Q20" i="1"/>
  <c r="R46" i="1"/>
  <c r="O46" i="1"/>
  <c r="Q46" i="1" s="1"/>
  <c r="J46" i="1"/>
  <c r="I46" i="1"/>
  <c r="H46" i="1"/>
  <c r="G46" i="1"/>
  <c r="Q45" i="1"/>
  <c r="O45" i="1"/>
  <c r="T45" i="1" s="1"/>
  <c r="U45" i="1" s="1"/>
  <c r="J45" i="1"/>
  <c r="I45" i="1"/>
  <c r="H45" i="1"/>
  <c r="G45" i="1"/>
  <c r="T44" i="1"/>
  <c r="U44" i="1" s="1"/>
  <c r="R44" i="1"/>
  <c r="P44" i="1"/>
  <c r="O44" i="1"/>
  <c r="S44" i="1" s="1"/>
  <c r="J44" i="1"/>
  <c r="I44" i="1"/>
  <c r="H44" i="1"/>
  <c r="G44" i="1"/>
  <c r="S43" i="1"/>
  <c r="R43" i="1"/>
  <c r="Q43" i="1"/>
  <c r="P43" i="1"/>
  <c r="J43" i="1"/>
  <c r="I43" i="1"/>
  <c r="H43" i="1"/>
  <c r="G43" i="1"/>
  <c r="O42" i="1"/>
  <c r="R42" i="1" s="1"/>
  <c r="N42" i="1"/>
  <c r="M42" i="1"/>
  <c r="S42" i="1" l="1"/>
  <c r="P42" i="1"/>
  <c r="T42" i="1"/>
  <c r="Q44" i="1"/>
  <c r="R45" i="1"/>
  <c r="S46" i="1"/>
  <c r="Q42" i="1"/>
  <c r="S45" i="1"/>
  <c r="P46" i="1"/>
  <c r="T46" i="1"/>
  <c r="U46" i="1" s="1"/>
  <c r="U42" i="1" s="1"/>
  <c r="P45" i="1"/>
  <c r="N33" i="1" l="1"/>
  <c r="N32" i="1"/>
  <c r="U33" i="1"/>
  <c r="U32" i="1"/>
  <c r="T33" i="1"/>
  <c r="T32" i="1"/>
  <c r="O33" i="1"/>
  <c r="O32" i="1"/>
  <c r="L36" i="1" l="1"/>
  <c r="K36" i="1"/>
  <c r="L35" i="1"/>
  <c r="K35" i="1"/>
  <c r="L32" i="1"/>
  <c r="K32" i="1"/>
  <c r="L29" i="1"/>
  <c r="K29" i="1"/>
  <c r="L25" i="1"/>
  <c r="K25" i="1"/>
  <c r="L22" i="1"/>
  <c r="K22" i="1"/>
  <c r="F36" i="1"/>
  <c r="F35" i="1"/>
  <c r="F32" i="1"/>
  <c r="F29" i="1"/>
  <c r="F25" i="1"/>
  <c r="F22" i="1"/>
  <c r="N20" i="1"/>
  <c r="E35" i="1"/>
  <c r="E36" i="1"/>
  <c r="E32" i="1"/>
  <c r="E29" i="1"/>
  <c r="E22" i="1"/>
  <c r="S28" i="1"/>
  <c r="R28" i="1"/>
  <c r="Q28" i="1"/>
  <c r="P28" i="1"/>
  <c r="J28" i="1"/>
  <c r="I28" i="1"/>
  <c r="G28" i="1"/>
  <c r="E25" i="1"/>
  <c r="H28" i="1" l="1"/>
  <c r="M33" i="1" l="1"/>
  <c r="M32" i="1"/>
  <c r="M20" i="1"/>
  <c r="D32" i="1"/>
  <c r="D24" i="1" l="1"/>
  <c r="D31" i="1"/>
  <c r="D29" i="1"/>
  <c r="D25" i="1"/>
  <c r="D33" i="1"/>
  <c r="U20" i="1" l="1"/>
  <c r="T20" i="1"/>
  <c r="O20" i="1"/>
  <c r="J37" i="1" l="1"/>
  <c r="P38" i="1" l="1"/>
  <c r="R29" i="1"/>
  <c r="U10" i="1"/>
  <c r="T10" i="1"/>
  <c r="O10" i="1"/>
  <c r="N10" i="1"/>
  <c r="M10" i="1"/>
  <c r="Q10" i="1" l="1"/>
  <c r="S41" i="1"/>
  <c r="R41" i="1"/>
  <c r="Q41" i="1"/>
  <c r="P41" i="1"/>
  <c r="J41" i="1"/>
  <c r="I41" i="1"/>
  <c r="H41" i="1"/>
  <c r="G41" i="1"/>
  <c r="S40" i="1"/>
  <c r="R40" i="1"/>
  <c r="Q40" i="1"/>
  <c r="P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J38" i="1"/>
  <c r="I38" i="1"/>
  <c r="H38" i="1"/>
  <c r="G38" i="1"/>
  <c r="S37" i="1"/>
  <c r="R37" i="1"/>
  <c r="Q37" i="1"/>
  <c r="P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J33" i="1"/>
  <c r="I33" i="1"/>
  <c r="H33" i="1"/>
  <c r="G33" i="1"/>
  <c r="S32" i="1"/>
  <c r="R32" i="1"/>
  <c r="Q32" i="1"/>
  <c r="P32" i="1"/>
  <c r="J32" i="1"/>
  <c r="I32" i="1"/>
  <c r="H32" i="1"/>
  <c r="G32" i="1"/>
  <c r="S31" i="1"/>
  <c r="R31" i="1"/>
  <c r="Q31" i="1"/>
  <c r="P31" i="1"/>
  <c r="H31" i="1"/>
  <c r="G31" i="1"/>
  <c r="J31" i="1"/>
  <c r="S30" i="1"/>
  <c r="R30" i="1"/>
  <c r="Q30" i="1"/>
  <c r="P30" i="1"/>
  <c r="J30" i="1"/>
  <c r="I30" i="1"/>
  <c r="H30" i="1"/>
  <c r="G30" i="1"/>
  <c r="S29" i="1"/>
  <c r="Q29" i="1"/>
  <c r="P29" i="1"/>
  <c r="J29" i="1"/>
  <c r="I29" i="1"/>
  <c r="H29" i="1"/>
  <c r="G29" i="1"/>
  <c r="S27" i="1"/>
  <c r="R27" i="1"/>
  <c r="Q27" i="1"/>
  <c r="P27" i="1"/>
  <c r="J27" i="1"/>
  <c r="I27" i="1"/>
  <c r="H27" i="1"/>
  <c r="G27" i="1"/>
  <c r="S26" i="1"/>
  <c r="R26" i="1"/>
  <c r="Q26" i="1"/>
  <c r="P26" i="1"/>
  <c r="J26" i="1"/>
  <c r="I26" i="1"/>
  <c r="H26" i="1"/>
  <c r="G26" i="1"/>
  <c r="S25" i="1"/>
  <c r="R25" i="1"/>
  <c r="Q25" i="1"/>
  <c r="P25" i="1"/>
  <c r="J25" i="1"/>
  <c r="I25" i="1"/>
  <c r="H25" i="1"/>
  <c r="G25" i="1"/>
  <c r="R24" i="1"/>
  <c r="P24" i="1"/>
  <c r="J24" i="1"/>
  <c r="I24" i="1"/>
  <c r="H24" i="1"/>
  <c r="G24" i="1"/>
  <c r="S23" i="1"/>
  <c r="R23" i="1"/>
  <c r="Q23" i="1"/>
  <c r="P23" i="1"/>
  <c r="J23" i="1"/>
  <c r="I23" i="1"/>
  <c r="H23" i="1"/>
  <c r="G23" i="1"/>
  <c r="S22" i="1"/>
  <c r="R22" i="1"/>
  <c r="P22" i="1"/>
  <c r="J22" i="1"/>
  <c r="I22" i="1"/>
  <c r="H22" i="1"/>
  <c r="G22" i="1"/>
  <c r="I31" i="1" l="1"/>
  <c r="S18" i="1" l="1"/>
  <c r="R18" i="1"/>
  <c r="Q18" i="1"/>
  <c r="P18" i="1"/>
  <c r="J18" i="1"/>
  <c r="I18" i="1"/>
  <c r="H18" i="1"/>
  <c r="G18" i="1"/>
  <c r="U9" i="1" l="1"/>
  <c r="U47" i="1" s="1"/>
  <c r="T9" i="1"/>
  <c r="T47" i="1" s="1"/>
  <c r="N9" i="1"/>
  <c r="N47" i="1" s="1"/>
  <c r="O9" i="1"/>
  <c r="O47" i="1" s="1"/>
  <c r="M9" i="1"/>
  <c r="M47" i="1" s="1"/>
  <c r="P47" i="1" l="1"/>
  <c r="S47" i="1"/>
  <c r="Q47" i="1"/>
  <c r="R47" i="1"/>
  <c r="S21" i="1" l="1"/>
  <c r="R21" i="1"/>
  <c r="R20" i="1" s="1"/>
  <c r="Q21" i="1"/>
  <c r="P21" i="1"/>
  <c r="I21" i="1"/>
  <c r="H21" i="1"/>
  <c r="G21" i="1"/>
  <c r="R12" i="1" l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Q9" i="1"/>
  <c r="R10" i="1"/>
  <c r="S10" i="1"/>
  <c r="H17" i="1"/>
  <c r="R17" i="1"/>
  <c r="Q17" i="1"/>
  <c r="P17" i="1"/>
  <c r="Q11" i="1"/>
  <c r="R11" i="1"/>
  <c r="P11" i="1"/>
  <c r="S11" i="1"/>
  <c r="P12" i="1"/>
  <c r="S12" i="1"/>
  <c r="P10" i="1" l="1"/>
  <c r="P20" i="1"/>
  <c r="P9" i="1" l="1"/>
</calcChain>
</file>

<file path=xl/comments1.xml><?xml version="1.0" encoding="utf-8"?>
<comments xmlns="http://schemas.openxmlformats.org/spreadsheetml/2006/main">
  <authors>
    <author>Автор</author>
  </authors>
  <commentList>
    <comment ref="N12" authorId="0" shapeId="0">
      <text>
        <r>
          <rPr>
            <b/>
            <sz val="9"/>
            <color indexed="81"/>
            <rFont val="Tahoma"/>
            <family val="2"/>
            <charset val="204"/>
          </rPr>
          <t>Ксендзова Татьяна Арнольдовна:</t>
        </r>
        <r>
          <rPr>
            <sz val="9"/>
            <color indexed="81"/>
            <rFont val="Tahoma"/>
            <family val="2"/>
            <charset val="204"/>
          </rPr>
          <t>0701.717+737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ддию и допобразов
</t>
        </r>
        <r>
          <rPr>
            <b/>
            <sz val="9"/>
            <color indexed="81"/>
            <rFont val="Tahoma"/>
            <family val="2"/>
            <charset val="204"/>
          </rPr>
          <t>Палчей Наталья :):</t>
        </r>
        <r>
          <rPr>
            <sz val="9"/>
            <color indexed="81"/>
            <rFont val="Tahoma"/>
            <family val="2"/>
            <charset val="204"/>
          </rPr>
          <t xml:space="preserve">
у образования инспектора взять
</t>
        </r>
        <r>
          <rPr>
            <b/>
            <sz val="9"/>
            <color indexed="81"/>
            <rFont val="Tahoma"/>
            <family val="2"/>
            <charset val="204"/>
          </rPr>
          <t>Крылова Виктория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доп образование берем у инспекторов
 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число питающихся
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интернат
</t>
        </r>
      </text>
    </comment>
  </commentList>
</comments>
</file>

<file path=xl/sharedStrings.xml><?xml version="1.0" encoding="utf-8"?>
<sst xmlns="http://schemas.openxmlformats.org/spreadsheetml/2006/main" count="164" uniqueCount="77">
  <si>
    <t>Наименование муниципальной услуги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</si>
  <si>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</si>
  <si>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</si>
  <si>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</si>
  <si>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</si>
  <si>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</si>
  <si>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</si>
  <si>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</si>
  <si>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</si>
  <si>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</si>
  <si>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</si>
  <si>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</si>
  <si>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</si>
  <si>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</si>
  <si>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</si>
  <si>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</si>
  <si>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</si>
  <si>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</si>
  <si>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</si>
  <si>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</si>
  <si>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</si>
  <si>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</si>
  <si>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</si>
  <si>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</si>
  <si>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</si>
  <si>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</si>
  <si>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</si>
  <si>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</si>
  <si>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</si>
  <si>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</si>
  <si>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</si>
  <si>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</si>
  <si>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</si>
  <si>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</si>
  <si>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</si>
  <si>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</si>
  <si>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</si>
  <si>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</si>
  <si>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</si>
  <si>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</si>
  <si>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</si>
  <si>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</si>
  <si>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</si>
  <si>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</si>
  <si>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</si>
  <si>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</si>
  <si>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</si>
  <si>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</si>
  <si>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Показ кинофильмов</t>
  </si>
  <si>
    <t>Проведение занятий физкультурно-спортивной направленности по месту проживания граждан</t>
  </si>
  <si>
    <t>количество занятий</t>
  </si>
  <si>
    <t>Единица измерения муниципальной услуги (работы)</t>
  </si>
  <si>
    <t>Содержание детей</t>
  </si>
  <si>
    <t>Методическое обеспечение образовательной деятельности</t>
  </si>
  <si>
    <t>Реализация дополнительных общеразвивающих программ физкультурно-спортивная направленность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</si>
  <si>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</si>
  <si>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по олимпийским видам спорта</t>
  </si>
  <si>
    <t>Отдел образования</t>
  </si>
  <si>
    <t xml:space="preserve">Отдел культуры 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</si>
  <si>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 по Администрации МО городской округ "Охинский"</t>
  </si>
  <si>
    <t>Опубликование (обнародование) муниципальных правовых актов и иной официальной информации</t>
  </si>
  <si>
    <t>Освещение деятельности органов местного самоуправления</t>
  </si>
  <si>
    <t>кв.см.</t>
  </si>
  <si>
    <t>III.</t>
  </si>
  <si>
    <t>1.</t>
  </si>
  <si>
    <t>2.</t>
  </si>
  <si>
    <t>Сведения о планируемых на 2026 год и плановый период 2027 и 2028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</si>
  <si>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2024 год (факт)</t>
  </si>
  <si>
    <t>2025 (оценка)</t>
  </si>
  <si>
    <t>2026 год</t>
  </si>
  <si>
    <t>к 2024 году</t>
  </si>
  <si>
    <t>к 2025 году (оценка)</t>
  </si>
  <si>
    <t>2027 год (план)</t>
  </si>
  <si>
    <t>2028 (план)</t>
  </si>
  <si>
    <t xml:space="preserve">Общий объем средств субсидий на финансовое обеспечение выполнения муниципального задания, предусмотренных в бюджете Охинского муниципального округа по Департаменту социального развития </t>
  </si>
  <si>
    <t>Организация и проведение мероприятий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</si>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</sst>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/>
    </xf>
    <xf numFmtId="10" fontId="0" fillId="0" borderId="0" xfId="0" applyNumberForma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3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165" fontId="10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1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2" sqref="A2:U2"/>
    </sheetView>
  </sheetViews>
  <sheetFormatPr defaultColWidth="9.15234375" defaultRowHeight="14.6" x14ac:dyDescent="0.4"/>
  <cols>
    <col min="1" max="1" width="4.53515625" customWidth="1"/>
    <col min="2" max="2" width="58.15234375" customWidth="1"/>
    <col min="3" max="3" width="17.69140625" customWidth="1"/>
    <col min="4" max="4" width="16.3046875" customWidth="1"/>
    <col min="5" max="5" width="16.53515625" customWidth="1"/>
    <col min="6" max="6" width="16.69140625" customWidth="1"/>
    <col min="7" max="7" width="15.3046875" customWidth="1"/>
    <col min="8" max="8" width="13.15234375" customWidth="1"/>
    <col min="9" max="9" width="15.69140625" customWidth="1"/>
    <col min="10" max="10" width="15.3046875" customWidth="1"/>
    <col min="11" max="11" width="13.69140625" customWidth="1"/>
    <col min="12" max="12" width="13.15234375" customWidth="1"/>
    <col min="13" max="13" width="16" bestFit="1" customWidth="1"/>
    <col min="14" max="14" width="14.53515625" bestFit="1" customWidth="1"/>
    <col min="15" max="15" width="14.3046875" bestFit="1" customWidth="1"/>
    <col min="16" max="16" width="12.3046875" bestFit="1" customWidth="1"/>
    <col min="17" max="17" width="10.3046875" customWidth="1"/>
    <col min="18" max="18" width="12.3046875" bestFit="1" customWidth="1"/>
    <col min="19" max="19" width="9.69140625" customWidth="1"/>
    <col min="20" max="20" width="16.15234375" bestFit="1" customWidth="1"/>
    <col min="21" max="21" width="13.3828125" customWidth="1"/>
    <col min="22" max="22" width="2.69140625" customWidth="1"/>
    <col min="23" max="26" width="17.53515625" customWidth="1"/>
  </cols>
  <sheetData>
    <row r="1" spans="1:21" ht="15.45" x14ac:dyDescent="0.4">
      <c r="T1" s="1" t="s">
        <v>42</v>
      </c>
    </row>
    <row r="2" spans="1:21" ht="15.45" x14ac:dyDescent="0.4">
      <c r="A2" s="72" t="s">
        <v>66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</row>
    <row r="3" spans="1:21" ht="15.9" thickBot="1" x14ac:dyDescent="0.45">
      <c r="A3" s="6"/>
      <c r="B3" s="7"/>
      <c r="C3" s="7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20.149999999999999" customHeight="1" x14ac:dyDescent="0.4">
      <c r="A4" s="82" t="s">
        <v>7</v>
      </c>
      <c r="B4" s="91" t="s">
        <v>0</v>
      </c>
      <c r="C4" s="91" t="s">
        <v>51</v>
      </c>
      <c r="D4" s="78" t="s">
        <v>9</v>
      </c>
      <c r="E4" s="79"/>
      <c r="F4" s="79"/>
      <c r="G4" s="79"/>
      <c r="H4" s="79"/>
      <c r="I4" s="79"/>
      <c r="J4" s="79"/>
      <c r="K4" s="80"/>
      <c r="L4" s="81"/>
      <c r="M4" s="78" t="s">
        <v>10</v>
      </c>
      <c r="N4" s="79"/>
      <c r="O4" s="79"/>
      <c r="P4" s="79"/>
      <c r="Q4" s="79"/>
      <c r="R4" s="79"/>
      <c r="S4" s="79"/>
      <c r="T4" s="80"/>
      <c r="U4" s="81"/>
    </row>
    <row r="5" spans="1:21" x14ac:dyDescent="0.4">
      <c r="A5" s="83"/>
      <c r="B5" s="92"/>
      <c r="C5" s="92"/>
      <c r="D5" s="85" t="s">
        <v>67</v>
      </c>
      <c r="E5" s="74" t="s">
        <v>68</v>
      </c>
      <c r="F5" s="74" t="s">
        <v>69</v>
      </c>
      <c r="G5" s="75"/>
      <c r="H5" s="75"/>
      <c r="I5" s="75"/>
      <c r="J5" s="75"/>
      <c r="K5" s="74" t="s">
        <v>72</v>
      </c>
      <c r="L5" s="76" t="s">
        <v>73</v>
      </c>
      <c r="M5" s="85" t="s">
        <v>67</v>
      </c>
      <c r="N5" s="74" t="s">
        <v>68</v>
      </c>
      <c r="O5" s="74" t="s">
        <v>69</v>
      </c>
      <c r="P5" s="75"/>
      <c r="Q5" s="75"/>
      <c r="R5" s="75"/>
      <c r="S5" s="75"/>
      <c r="T5" s="74" t="s">
        <v>72</v>
      </c>
      <c r="U5" s="76" t="s">
        <v>73</v>
      </c>
    </row>
    <row r="6" spans="1:21" x14ac:dyDescent="0.4">
      <c r="A6" s="83"/>
      <c r="B6" s="92"/>
      <c r="C6" s="92"/>
      <c r="D6" s="86"/>
      <c r="E6" s="75"/>
      <c r="F6" s="74" t="s">
        <v>2</v>
      </c>
      <c r="G6" s="74" t="s">
        <v>3</v>
      </c>
      <c r="H6" s="75"/>
      <c r="I6" s="75"/>
      <c r="J6" s="75"/>
      <c r="K6" s="75"/>
      <c r="L6" s="77"/>
      <c r="M6" s="86"/>
      <c r="N6" s="75"/>
      <c r="O6" s="74" t="s">
        <v>2</v>
      </c>
      <c r="P6" s="74" t="s">
        <v>3</v>
      </c>
      <c r="Q6" s="75"/>
      <c r="R6" s="75"/>
      <c r="S6" s="75"/>
      <c r="T6" s="75"/>
      <c r="U6" s="77"/>
    </row>
    <row r="7" spans="1:21" x14ac:dyDescent="0.4">
      <c r="A7" s="83"/>
      <c r="B7" s="95"/>
      <c r="C7" s="93"/>
      <c r="D7" s="86"/>
      <c r="E7" s="75"/>
      <c r="F7" s="75"/>
      <c r="G7" s="74" t="s">
        <v>70</v>
      </c>
      <c r="H7" s="75"/>
      <c r="I7" s="74" t="s">
        <v>71</v>
      </c>
      <c r="J7" s="75"/>
      <c r="K7" s="75"/>
      <c r="L7" s="77"/>
      <c r="M7" s="86"/>
      <c r="N7" s="75"/>
      <c r="O7" s="75"/>
      <c r="P7" s="74" t="s">
        <v>70</v>
      </c>
      <c r="Q7" s="75"/>
      <c r="R7" s="74" t="s">
        <v>71</v>
      </c>
      <c r="S7" s="75"/>
      <c r="T7" s="75"/>
      <c r="U7" s="77"/>
    </row>
    <row r="8" spans="1:21" ht="15.45" thickBot="1" x14ac:dyDescent="0.45">
      <c r="A8" s="84"/>
      <c r="B8" s="96"/>
      <c r="C8" s="94"/>
      <c r="D8" s="44" t="s">
        <v>40</v>
      </c>
      <c r="E8" s="45" t="s">
        <v>40</v>
      </c>
      <c r="F8" s="45" t="s">
        <v>40</v>
      </c>
      <c r="G8" s="45" t="s">
        <v>40</v>
      </c>
      <c r="H8" s="45" t="s">
        <v>4</v>
      </c>
      <c r="I8" s="45" t="s">
        <v>40</v>
      </c>
      <c r="J8" s="45" t="s">
        <v>4</v>
      </c>
      <c r="K8" s="45" t="s">
        <v>40</v>
      </c>
      <c r="L8" s="46" t="s">
        <v>40</v>
      </c>
      <c r="M8" s="47" t="s">
        <v>47</v>
      </c>
      <c r="N8" s="45" t="s">
        <v>47</v>
      </c>
      <c r="O8" s="45" t="s">
        <v>47</v>
      </c>
      <c r="P8" s="45" t="s">
        <v>47</v>
      </c>
      <c r="Q8" s="45" t="s">
        <v>4</v>
      </c>
      <c r="R8" s="45" t="s">
        <v>47</v>
      </c>
      <c r="S8" s="45" t="s">
        <v>4</v>
      </c>
      <c r="T8" s="45" t="s">
        <v>47</v>
      </c>
      <c r="U8" s="48" t="s">
        <v>47</v>
      </c>
    </row>
    <row r="9" spans="1:21" ht="64.2" customHeight="1" x14ac:dyDescent="0.4">
      <c r="A9" s="9"/>
      <c r="B9" s="10" t="s">
        <v>74</v>
      </c>
      <c r="C9" s="11"/>
      <c r="D9" s="12" t="s">
        <v>45</v>
      </c>
      <c r="E9" s="12" t="s">
        <v>45</v>
      </c>
      <c r="F9" s="12" t="s">
        <v>45</v>
      </c>
      <c r="G9" s="13" t="s">
        <v>45</v>
      </c>
      <c r="H9" s="13" t="s">
        <v>45</v>
      </c>
      <c r="I9" s="13" t="s">
        <v>45</v>
      </c>
      <c r="J9" s="13" t="s">
        <v>45</v>
      </c>
      <c r="K9" s="12" t="s">
        <v>45</v>
      </c>
      <c r="L9" s="12" t="s">
        <v>45</v>
      </c>
      <c r="M9" s="14">
        <f>SUM(M10+M20)</f>
        <v>2317033</v>
      </c>
      <c r="N9" s="14">
        <f>SUM(N10+N20)</f>
        <v>2534134.5200000005</v>
      </c>
      <c r="O9" s="14">
        <f>SUM(O10+O20)</f>
        <v>2655729.0095063751</v>
      </c>
      <c r="P9" s="15">
        <f>SUM(P10+P20)</f>
        <v>305193.80950637552</v>
      </c>
      <c r="Q9" s="16">
        <f>SUM(O9/M9)*100</f>
        <v>114.61766015013058</v>
      </c>
      <c r="R9" s="16">
        <f>SUM(O9-N9)</f>
        <v>121594.48950637458</v>
      </c>
      <c r="S9" s="16">
        <f>SUM(O9/N9)*100</f>
        <v>104.79826499133024</v>
      </c>
      <c r="T9" s="14">
        <f>SUM(T10+T20)</f>
        <v>2253989.4369939184</v>
      </c>
      <c r="U9" s="14">
        <f>SUM(U10+U20)</f>
        <v>2216242.831947695</v>
      </c>
    </row>
    <row r="10" spans="1:21" ht="15" x14ac:dyDescent="0.4">
      <c r="A10" s="38" t="s">
        <v>43</v>
      </c>
      <c r="B10" s="39" t="s">
        <v>57</v>
      </c>
      <c r="C10" s="40"/>
      <c r="D10" s="41" t="s">
        <v>45</v>
      </c>
      <c r="E10" s="41" t="s">
        <v>45</v>
      </c>
      <c r="F10" s="41" t="s">
        <v>45</v>
      </c>
      <c r="G10" s="41" t="s">
        <v>45</v>
      </c>
      <c r="H10" s="41" t="s">
        <v>45</v>
      </c>
      <c r="I10" s="41" t="s">
        <v>45</v>
      </c>
      <c r="J10" s="41" t="s">
        <v>45</v>
      </c>
      <c r="K10" s="41" t="s">
        <v>45</v>
      </c>
      <c r="L10" s="41" t="s">
        <v>45</v>
      </c>
      <c r="M10" s="42">
        <f>SUM(M11+M12+M13+M14+M15+M16+M17+M18+M19)</f>
        <v>1808273.4999999998</v>
      </c>
      <c r="N10" s="42">
        <f>SUM(N11+N12+N13+N14+N15+N16+N17+N18+N19)</f>
        <v>2043167.7200000007</v>
      </c>
      <c r="O10" s="42">
        <f>SUM(O11+O12+O13+O14+O15+O16+O17+O18+O19)</f>
        <v>2103476.88</v>
      </c>
      <c r="P10" s="43">
        <f>SUM(O10-M10)</f>
        <v>295203.38000000012</v>
      </c>
      <c r="Q10" s="43">
        <f>SUM(O10/M10)*100</f>
        <v>116.32515103495132</v>
      </c>
      <c r="R10" s="43">
        <f>SUM(O10-N10)</f>
        <v>60309.159999999218</v>
      </c>
      <c r="S10" s="43">
        <f>SUM(O10/N10)*100</f>
        <v>102.95174788685479</v>
      </c>
      <c r="T10" s="42">
        <f>SUM(T11+T12+T13+T14+T15+T16+T17+T18+T19)</f>
        <v>1952339.5000000005</v>
      </c>
      <c r="U10" s="42">
        <f>SUM(U11+U12+U13+U14+U15+U16+U17+U18+U19)</f>
        <v>1937601.2000000002</v>
      </c>
    </row>
    <row r="11" spans="1:21" ht="30.9" x14ac:dyDescent="0.4">
      <c r="A11" s="17">
        <v>1</v>
      </c>
      <c r="B11" s="18" t="s">
        <v>5</v>
      </c>
      <c r="C11" s="18" t="s">
        <v>8</v>
      </c>
      <c r="D11" s="65">
        <v>1080</v>
      </c>
      <c r="E11" s="65">
        <v>984</v>
      </c>
      <c r="F11" s="65">
        <v>984</v>
      </c>
      <c r="G11" s="19">
        <f>SUM(F11-D11)</f>
        <v>-96</v>
      </c>
      <c r="H11" s="20">
        <f>SUM(F11/D11)*100</f>
        <v>91.111111111111114</v>
      </c>
      <c r="I11" s="21">
        <f>SUM(F11-E11)</f>
        <v>0</v>
      </c>
      <c r="J11" s="21">
        <f>SUM(F11/E11)*100</f>
        <v>100</v>
      </c>
      <c r="K11" s="65">
        <f t="shared" ref="K11:L19" si="0">F11</f>
        <v>984</v>
      </c>
      <c r="L11" s="65">
        <f t="shared" si="0"/>
        <v>-96</v>
      </c>
      <c r="M11" s="67">
        <v>617252.9</v>
      </c>
      <c r="N11" s="67">
        <v>720100.2</v>
      </c>
      <c r="O11" s="67">
        <v>708537.9</v>
      </c>
      <c r="P11" s="22">
        <f>SUM(O11-M11)</f>
        <v>91285</v>
      </c>
      <c r="Q11" s="22">
        <f>SUM(O11/M11)*100</f>
        <v>114.78891391194759</v>
      </c>
      <c r="R11" s="22">
        <f>SUM(O11-N11)</f>
        <v>-11562.29999999993</v>
      </c>
      <c r="S11" s="22">
        <f>SUM(O11/N11)*100</f>
        <v>98.394348453173606</v>
      </c>
      <c r="T11" s="71">
        <v>704550.2</v>
      </c>
      <c r="U11" s="71">
        <v>704095.4</v>
      </c>
    </row>
    <row r="12" spans="1:21" ht="30.9" x14ac:dyDescent="0.4">
      <c r="A12" s="23">
        <v>2</v>
      </c>
      <c r="B12" s="24" t="s">
        <v>6</v>
      </c>
      <c r="C12" s="24" t="s">
        <v>8</v>
      </c>
      <c r="D12" s="65">
        <v>1072</v>
      </c>
      <c r="E12" s="65">
        <v>1014</v>
      </c>
      <c r="F12" s="65">
        <v>1014</v>
      </c>
      <c r="G12" s="2">
        <f t="shared" ref="G12:G19" si="1">SUM(F12-D12)</f>
        <v>-58</v>
      </c>
      <c r="H12" s="3">
        <f t="shared" ref="H12:H19" si="2">SUM(F12/D12)*100</f>
        <v>94.589552238805979</v>
      </c>
      <c r="I12" s="4">
        <f t="shared" ref="I12:I19" si="3">SUM(F12-E12)</f>
        <v>0</v>
      </c>
      <c r="J12" s="4">
        <f t="shared" ref="J12:J19" si="4">SUM(F12/E12)*100</f>
        <v>100</v>
      </c>
      <c r="K12" s="65">
        <f t="shared" si="0"/>
        <v>1014</v>
      </c>
      <c r="L12" s="65">
        <f t="shared" si="0"/>
        <v>-58</v>
      </c>
      <c r="M12" s="68">
        <v>189257.1</v>
      </c>
      <c r="N12" s="68">
        <v>206715.7</v>
      </c>
      <c r="O12" s="68">
        <v>236270.1</v>
      </c>
      <c r="P12" s="5">
        <f t="shared" ref="P12:P19" si="5">SUM(O12-M12)</f>
        <v>47013</v>
      </c>
      <c r="Q12" s="5">
        <f t="shared" ref="Q12:Q19" si="6">SUM(O12/M12)*100</f>
        <v>124.84081178460411</v>
      </c>
      <c r="R12" s="5">
        <f t="shared" ref="R12:R19" si="7">SUM(O12-N12)</f>
        <v>29554.399999999994</v>
      </c>
      <c r="S12" s="5">
        <f t="shared" ref="S12:S19" si="8">SUM(O12/N12)*100</f>
        <v>114.29712402105888</v>
      </c>
      <c r="T12" s="71">
        <v>172718.3</v>
      </c>
      <c r="U12" s="71">
        <v>166760.20000000001</v>
      </c>
    </row>
    <row r="13" spans="1:21" ht="30.9" x14ac:dyDescent="0.4">
      <c r="A13" s="23">
        <v>3</v>
      </c>
      <c r="B13" s="24" t="s">
        <v>11</v>
      </c>
      <c r="C13" s="24" t="s">
        <v>8</v>
      </c>
      <c r="D13" s="66">
        <v>1054</v>
      </c>
      <c r="E13" s="66">
        <v>1044</v>
      </c>
      <c r="F13" s="66">
        <v>953</v>
      </c>
      <c r="G13" s="2">
        <f t="shared" si="1"/>
        <v>-101</v>
      </c>
      <c r="H13" s="3">
        <f t="shared" si="2"/>
        <v>90.41745730550285</v>
      </c>
      <c r="I13" s="4">
        <f t="shared" si="3"/>
        <v>-91</v>
      </c>
      <c r="J13" s="4">
        <f t="shared" si="4"/>
        <v>91.283524904214559</v>
      </c>
      <c r="K13" s="66">
        <f t="shared" si="0"/>
        <v>953</v>
      </c>
      <c r="L13" s="66">
        <f t="shared" si="0"/>
        <v>-101</v>
      </c>
      <c r="M13" s="69">
        <v>370179.9</v>
      </c>
      <c r="N13" s="69">
        <v>410668.17730496504</v>
      </c>
      <c r="O13" s="69">
        <v>404972.064224314</v>
      </c>
      <c r="P13" s="5">
        <f t="shared" si="5"/>
        <v>34792.16422431398</v>
      </c>
      <c r="Q13" s="5">
        <f t="shared" si="6"/>
        <v>109.39871781917765</v>
      </c>
      <c r="R13" s="5">
        <f t="shared" si="7"/>
        <v>-5696.1130806510337</v>
      </c>
      <c r="S13" s="5">
        <f t="shared" si="8"/>
        <v>98.612964579327254</v>
      </c>
      <c r="T13" s="71">
        <v>383555.11539091304</v>
      </c>
      <c r="U13" s="71">
        <v>381607.18027016002</v>
      </c>
    </row>
    <row r="14" spans="1:21" ht="30.9" x14ac:dyDescent="0.4">
      <c r="A14" s="23">
        <v>4</v>
      </c>
      <c r="B14" s="24" t="s">
        <v>12</v>
      </c>
      <c r="C14" s="24" t="s">
        <v>8</v>
      </c>
      <c r="D14" s="66">
        <v>1325</v>
      </c>
      <c r="E14" s="66">
        <v>1262</v>
      </c>
      <c r="F14" s="66">
        <v>1298</v>
      </c>
      <c r="G14" s="2">
        <f t="shared" si="1"/>
        <v>-27</v>
      </c>
      <c r="H14" s="3">
        <f t="shared" si="2"/>
        <v>97.962264150943398</v>
      </c>
      <c r="I14" s="4">
        <f t="shared" si="3"/>
        <v>36</v>
      </c>
      <c r="J14" s="4">
        <f t="shared" si="4"/>
        <v>102.85261489698891</v>
      </c>
      <c r="K14" s="66">
        <f t="shared" si="0"/>
        <v>1298</v>
      </c>
      <c r="L14" s="66">
        <f t="shared" si="0"/>
        <v>-27</v>
      </c>
      <c r="M14" s="69">
        <v>432819.8</v>
      </c>
      <c r="N14" s="69">
        <v>456563.52773837699</v>
      </c>
      <c r="O14" s="69">
        <v>510785.88069586601</v>
      </c>
      <c r="P14" s="5">
        <f t="shared" si="5"/>
        <v>77966.080695866025</v>
      </c>
      <c r="Q14" s="5">
        <f t="shared" si="6"/>
        <v>118.01351987498401</v>
      </c>
      <c r="R14" s="5">
        <f t="shared" si="7"/>
        <v>54222.352957489027</v>
      </c>
      <c r="S14" s="5">
        <f t="shared" si="8"/>
        <v>111.87619020426001</v>
      </c>
      <c r="T14" s="71">
        <v>480813.80176013097</v>
      </c>
      <c r="U14" s="71">
        <v>477443.78550961899</v>
      </c>
    </row>
    <row r="15" spans="1:21" ht="30.9" x14ac:dyDescent="0.4">
      <c r="A15" s="23">
        <v>5</v>
      </c>
      <c r="B15" s="24" t="s">
        <v>13</v>
      </c>
      <c r="C15" s="24" t="s">
        <v>8</v>
      </c>
      <c r="D15" s="66">
        <v>175</v>
      </c>
      <c r="E15" s="66">
        <v>232</v>
      </c>
      <c r="F15" s="66">
        <v>192</v>
      </c>
      <c r="G15" s="2">
        <f t="shared" si="1"/>
        <v>17</v>
      </c>
      <c r="H15" s="3">
        <f t="shared" si="2"/>
        <v>109.71428571428572</v>
      </c>
      <c r="I15" s="4">
        <f t="shared" si="3"/>
        <v>-40</v>
      </c>
      <c r="J15" s="4">
        <f t="shared" si="4"/>
        <v>82.758620689655174</v>
      </c>
      <c r="K15" s="66">
        <f t="shared" si="0"/>
        <v>192</v>
      </c>
      <c r="L15" s="66">
        <f t="shared" si="0"/>
        <v>17</v>
      </c>
      <c r="M15" s="69">
        <v>65007.9</v>
      </c>
      <c r="N15" s="69">
        <v>91259.594956658795</v>
      </c>
      <c r="O15" s="69">
        <v>81589.33507981991</v>
      </c>
      <c r="P15" s="5">
        <f t="shared" si="5"/>
        <v>16581.435079819908</v>
      </c>
      <c r="Q15" s="5">
        <f t="shared" si="6"/>
        <v>125.50680006556112</v>
      </c>
      <c r="R15" s="5">
        <f t="shared" si="7"/>
        <v>-9670.2598768388852</v>
      </c>
      <c r="S15" s="5">
        <f t="shared" si="8"/>
        <v>89.403569146420708</v>
      </c>
      <c r="T15" s="71">
        <v>77274.482848956191</v>
      </c>
      <c r="U15" s="71">
        <v>76882.034220221001</v>
      </c>
    </row>
    <row r="16" spans="1:21" ht="30.9" x14ac:dyDescent="0.4">
      <c r="A16" s="23">
        <v>6</v>
      </c>
      <c r="B16" s="24" t="s">
        <v>14</v>
      </c>
      <c r="C16" s="24" t="s">
        <v>39</v>
      </c>
      <c r="D16" s="66">
        <v>2224</v>
      </c>
      <c r="E16" s="66">
        <v>2065</v>
      </c>
      <c r="F16" s="66">
        <v>2065</v>
      </c>
      <c r="G16" s="2">
        <f t="shared" si="1"/>
        <v>-159</v>
      </c>
      <c r="H16" s="3">
        <f t="shared" si="2"/>
        <v>92.850719424460422</v>
      </c>
      <c r="I16" s="4">
        <f t="shared" si="3"/>
        <v>0</v>
      </c>
      <c r="J16" s="4">
        <f t="shared" si="4"/>
        <v>100</v>
      </c>
      <c r="K16" s="70">
        <f t="shared" si="0"/>
        <v>2065</v>
      </c>
      <c r="L16" s="70">
        <f t="shared" si="0"/>
        <v>-159</v>
      </c>
      <c r="M16" s="69">
        <v>68505.899999999994</v>
      </c>
      <c r="N16" s="69">
        <v>83901</v>
      </c>
      <c r="O16" s="69">
        <v>87362.1</v>
      </c>
      <c r="P16" s="5">
        <f t="shared" si="5"/>
        <v>18856.200000000012</v>
      </c>
      <c r="Q16" s="5">
        <f t="shared" si="6"/>
        <v>127.52492850980721</v>
      </c>
      <c r="R16" s="5">
        <f t="shared" si="7"/>
        <v>3461.1000000000058</v>
      </c>
      <c r="S16" s="5">
        <f t="shared" si="8"/>
        <v>104.12521900811672</v>
      </c>
      <c r="T16" s="71">
        <v>59468.1</v>
      </c>
      <c r="U16" s="71">
        <v>56853.1</v>
      </c>
    </row>
    <row r="17" spans="1:23" ht="30.9" x14ac:dyDescent="0.4">
      <c r="A17" s="23">
        <v>7</v>
      </c>
      <c r="B17" s="24" t="s">
        <v>1</v>
      </c>
      <c r="C17" s="24" t="s">
        <v>8</v>
      </c>
      <c r="D17" s="66">
        <v>2145</v>
      </c>
      <c r="E17" s="66">
        <v>1585</v>
      </c>
      <c r="F17" s="66">
        <v>1590</v>
      </c>
      <c r="G17" s="2">
        <f t="shared" si="1"/>
        <v>-555</v>
      </c>
      <c r="H17" s="3">
        <f t="shared" si="2"/>
        <v>74.12587412587412</v>
      </c>
      <c r="I17" s="4">
        <f t="shared" si="3"/>
        <v>5</v>
      </c>
      <c r="J17" s="4">
        <f t="shared" si="4"/>
        <v>100.31545741324921</v>
      </c>
      <c r="K17" s="66">
        <f t="shared" si="0"/>
        <v>1590</v>
      </c>
      <c r="L17" s="66">
        <f t="shared" si="0"/>
        <v>-555</v>
      </c>
      <c r="M17" s="69">
        <v>57946.7</v>
      </c>
      <c r="N17" s="69">
        <v>65796.92</v>
      </c>
      <c r="O17" s="69">
        <v>65796.899999999994</v>
      </c>
      <c r="P17" s="5">
        <f t="shared" si="5"/>
        <v>7850.1999999999971</v>
      </c>
      <c r="Q17" s="5">
        <f t="shared" si="6"/>
        <v>113.54727706668368</v>
      </c>
      <c r="R17" s="5">
        <f t="shared" si="7"/>
        <v>-2.0000000004074536E-2</v>
      </c>
      <c r="S17" s="5">
        <f t="shared" si="8"/>
        <v>99.999969603440391</v>
      </c>
      <c r="T17" s="71">
        <v>65796.899999999994</v>
      </c>
      <c r="U17" s="71">
        <v>65796.899999999994</v>
      </c>
    </row>
    <row r="18" spans="1:23" ht="30.9" x14ac:dyDescent="0.4">
      <c r="A18" s="23">
        <v>8</v>
      </c>
      <c r="B18" s="24" t="s">
        <v>52</v>
      </c>
      <c r="C18" s="24" t="s">
        <v>8</v>
      </c>
      <c r="D18" s="66">
        <v>66</v>
      </c>
      <c r="E18" s="66">
        <v>65</v>
      </c>
      <c r="F18" s="66">
        <v>65</v>
      </c>
      <c r="G18" s="2">
        <f t="shared" ref="G18" si="9">SUM(F18-D18)</f>
        <v>-1</v>
      </c>
      <c r="H18" s="3">
        <f t="shared" ref="H18" si="10">SUM(F18/D18)*100</f>
        <v>98.484848484848484</v>
      </c>
      <c r="I18" s="4">
        <f t="shared" ref="I18" si="11">SUM(F18-E18)</f>
        <v>0</v>
      </c>
      <c r="J18" s="4">
        <f t="shared" ref="J18" si="12">SUM(F18/E18)*100</f>
        <v>100</v>
      </c>
      <c r="K18" s="66">
        <f t="shared" si="0"/>
        <v>65</v>
      </c>
      <c r="L18" s="66">
        <f t="shared" si="0"/>
        <v>-1</v>
      </c>
      <c r="M18" s="69">
        <v>6603.3</v>
      </c>
      <c r="N18" s="69">
        <v>7462.6</v>
      </c>
      <c r="O18" s="69">
        <v>7462.6</v>
      </c>
      <c r="P18" s="5">
        <f t="shared" ref="P18" si="13">SUM(O18-M18)</f>
        <v>859.30000000000018</v>
      </c>
      <c r="Q18" s="5">
        <f t="shared" ref="Q18" si="14">SUM(O18/M18)*100</f>
        <v>113.01319037450972</v>
      </c>
      <c r="R18" s="5">
        <f t="shared" ref="R18" si="15">SUM(O18-N18)</f>
        <v>0</v>
      </c>
      <c r="S18" s="5">
        <f t="shared" ref="S18" si="16">SUM(O18/N18)*100</f>
        <v>100</v>
      </c>
      <c r="T18" s="71">
        <v>7462.6</v>
      </c>
      <c r="U18" s="71">
        <v>7462.6</v>
      </c>
    </row>
    <row r="19" spans="1:23" ht="30.9" x14ac:dyDescent="0.4">
      <c r="A19" s="23">
        <v>9</v>
      </c>
      <c r="B19" s="24" t="s">
        <v>53</v>
      </c>
      <c r="C19" s="24" t="s">
        <v>8</v>
      </c>
      <c r="D19" s="66">
        <v>9</v>
      </c>
      <c r="E19" s="66">
        <v>9</v>
      </c>
      <c r="F19" s="66">
        <v>9</v>
      </c>
      <c r="G19" s="2">
        <f t="shared" si="1"/>
        <v>0</v>
      </c>
      <c r="H19" s="3">
        <f t="shared" si="2"/>
        <v>100</v>
      </c>
      <c r="I19" s="4">
        <f t="shared" si="3"/>
        <v>0</v>
      </c>
      <c r="J19" s="4">
        <f t="shared" si="4"/>
        <v>100</v>
      </c>
      <c r="K19" s="66">
        <f t="shared" si="0"/>
        <v>9</v>
      </c>
      <c r="L19" s="66">
        <f t="shared" si="0"/>
        <v>0</v>
      </c>
      <c r="M19" s="69">
        <v>700</v>
      </c>
      <c r="N19" s="69">
        <v>700</v>
      </c>
      <c r="O19" s="69">
        <v>700</v>
      </c>
      <c r="P19" s="5">
        <f t="shared" si="5"/>
        <v>0</v>
      </c>
      <c r="Q19" s="5">
        <f t="shared" si="6"/>
        <v>100</v>
      </c>
      <c r="R19" s="5">
        <f t="shared" si="7"/>
        <v>0</v>
      </c>
      <c r="S19" s="5">
        <f t="shared" si="8"/>
        <v>100</v>
      </c>
      <c r="T19" s="71">
        <v>700</v>
      </c>
      <c r="U19" s="71">
        <v>700</v>
      </c>
    </row>
    <row r="20" spans="1:23" ht="15" x14ac:dyDescent="0.4">
      <c r="A20" s="38" t="s">
        <v>44</v>
      </c>
      <c r="B20" s="39" t="s">
        <v>58</v>
      </c>
      <c r="C20" s="40"/>
      <c r="D20" s="41" t="s">
        <v>45</v>
      </c>
      <c r="E20" s="41" t="s">
        <v>45</v>
      </c>
      <c r="F20" s="41" t="s">
        <v>45</v>
      </c>
      <c r="G20" s="41" t="s">
        <v>45</v>
      </c>
      <c r="H20" s="41" t="s">
        <v>45</v>
      </c>
      <c r="I20" s="41" t="s">
        <v>45</v>
      </c>
      <c r="J20" s="41" t="s">
        <v>45</v>
      </c>
      <c r="K20" s="41" t="s">
        <v>45</v>
      </c>
      <c r="L20" s="41" t="s">
        <v>45</v>
      </c>
      <c r="M20" s="42">
        <f>SUM(M21:M41)</f>
        <v>508759.50000000006</v>
      </c>
      <c r="N20" s="42">
        <f>SUM(N21:N41)</f>
        <v>490966.80000000005</v>
      </c>
      <c r="O20" s="42">
        <f>SUM(O21:O46)</f>
        <v>552252.12950637529</v>
      </c>
      <c r="P20" s="42">
        <f>SUM(P21:P46)</f>
        <v>9990.4295063753761</v>
      </c>
      <c r="Q20" s="43">
        <f>SUM(O20/M20)*100</f>
        <v>108.54876017182484</v>
      </c>
      <c r="R20" s="42">
        <f>SUM(R21:R46)</f>
        <v>34997.329506375361</v>
      </c>
      <c r="S20" s="43">
        <f>SUM(O20/N20)*100</f>
        <v>112.48258120638204</v>
      </c>
      <c r="T20" s="42">
        <f>SUM(T21:T46)</f>
        <v>301649.93699391786</v>
      </c>
      <c r="U20" s="42">
        <f>SUM(U21:U46)</f>
        <v>278641.63194769464</v>
      </c>
    </row>
    <row r="21" spans="1:23" ht="30.9" x14ac:dyDescent="0.4">
      <c r="A21" s="23">
        <v>1</v>
      </c>
      <c r="B21" s="24" t="s">
        <v>15</v>
      </c>
      <c r="C21" s="24" t="s">
        <v>17</v>
      </c>
      <c r="D21" s="37">
        <v>3563</v>
      </c>
      <c r="E21" s="37"/>
      <c r="F21" s="37"/>
      <c r="G21" s="2">
        <f t="shared" ref="G21:G41" si="17">SUM(F21-D21)</f>
        <v>-3563</v>
      </c>
      <c r="H21" s="3">
        <f t="shared" ref="H21" si="18">SUM(F21/D21)*100</f>
        <v>0</v>
      </c>
      <c r="I21" s="4">
        <f t="shared" ref="I21:I41" si="19">SUM(F21-E21)</f>
        <v>0</v>
      </c>
      <c r="J21" s="4" t="e">
        <f>SUM(F21/E21)*100</f>
        <v>#DIV/0!</v>
      </c>
      <c r="K21" s="37"/>
      <c r="L21" s="37"/>
      <c r="M21" s="25">
        <v>94336.1</v>
      </c>
      <c r="N21" s="25"/>
      <c r="O21" s="25"/>
      <c r="P21" s="5">
        <f t="shared" ref="P21:P45" si="20">SUM(O21-M21)</f>
        <v>-94336.1</v>
      </c>
      <c r="Q21" s="5">
        <f t="shared" ref="Q21" si="21">SUM(O21/M21)*100</f>
        <v>0</v>
      </c>
      <c r="R21" s="5">
        <f t="shared" ref="R21:R45" si="22">SUM(O21-N21)</f>
        <v>0</v>
      </c>
      <c r="S21" s="5" t="e">
        <f t="shared" ref="S21" si="23">SUM(O21/N21)*100</f>
        <v>#DIV/0!</v>
      </c>
      <c r="T21" s="25"/>
      <c r="U21" s="25"/>
    </row>
    <row r="22" spans="1:23" ht="46.3" x14ac:dyDescent="0.4">
      <c r="A22" s="23">
        <v>2</v>
      </c>
      <c r="B22" s="24" t="s">
        <v>16</v>
      </c>
      <c r="C22" s="24" t="s">
        <v>18</v>
      </c>
      <c r="D22" s="50">
        <v>90167</v>
      </c>
      <c r="E22" s="50">
        <f>115000+3500</f>
        <v>118500</v>
      </c>
      <c r="F22" s="50">
        <f>115000+3500</f>
        <v>118500</v>
      </c>
      <c r="G22" s="2">
        <f t="shared" si="17"/>
        <v>28333</v>
      </c>
      <c r="H22" s="3">
        <f t="shared" ref="H22:H41" si="24">SUM(F22/D22)*100</f>
        <v>131.42280435192478</v>
      </c>
      <c r="I22" s="4">
        <f t="shared" si="19"/>
        <v>0</v>
      </c>
      <c r="J22" s="4">
        <f t="shared" ref="J22:J41" si="25">SUM(F22/E22)*100</f>
        <v>100</v>
      </c>
      <c r="K22" s="50">
        <f t="shared" ref="K22:L22" si="26">115000+3500</f>
        <v>118500</v>
      </c>
      <c r="L22" s="50">
        <f t="shared" si="26"/>
        <v>118500</v>
      </c>
      <c r="M22" s="53">
        <v>3727.7</v>
      </c>
      <c r="N22" s="52">
        <v>109682.3</v>
      </c>
      <c r="O22" s="52">
        <v>112990.3</v>
      </c>
      <c r="P22" s="5">
        <f t="shared" si="20"/>
        <v>109262.6</v>
      </c>
      <c r="Q22" s="5">
        <v>0</v>
      </c>
      <c r="R22" s="5">
        <f t="shared" si="22"/>
        <v>3308</v>
      </c>
      <c r="S22" s="5">
        <f t="shared" ref="S22:S46" si="27">SUM(O22/N22)*100</f>
        <v>103.01598343579592</v>
      </c>
      <c r="T22" s="52">
        <v>62739.1</v>
      </c>
      <c r="U22" s="52">
        <v>58028</v>
      </c>
    </row>
    <row r="23" spans="1:23" s="60" customFormat="1" ht="46.3" x14ac:dyDescent="0.4">
      <c r="A23" s="54">
        <v>3</v>
      </c>
      <c r="B23" s="55" t="s">
        <v>19</v>
      </c>
      <c r="C23" s="55" t="s">
        <v>20</v>
      </c>
      <c r="D23" s="50"/>
      <c r="E23" s="50">
        <v>35</v>
      </c>
      <c r="F23" s="50">
        <v>35</v>
      </c>
      <c r="G23" s="56">
        <f t="shared" si="17"/>
        <v>35</v>
      </c>
      <c r="H23" s="57" t="e">
        <f t="shared" si="24"/>
        <v>#DIV/0!</v>
      </c>
      <c r="I23" s="58">
        <f t="shared" si="19"/>
        <v>0</v>
      </c>
      <c r="J23" s="58">
        <f t="shared" si="25"/>
        <v>100</v>
      </c>
      <c r="K23" s="50">
        <v>35</v>
      </c>
      <c r="L23" s="50">
        <v>35</v>
      </c>
      <c r="M23" s="53"/>
      <c r="N23" s="52">
        <v>32.4</v>
      </c>
      <c r="O23" s="52">
        <v>33.4</v>
      </c>
      <c r="P23" s="59">
        <f t="shared" si="20"/>
        <v>33.4</v>
      </c>
      <c r="Q23" s="59" t="e">
        <f t="shared" ref="Q23:Q45" si="28">SUM(O23/M23)*100</f>
        <v>#DIV/0!</v>
      </c>
      <c r="R23" s="59">
        <f t="shared" si="22"/>
        <v>1</v>
      </c>
      <c r="S23" s="59">
        <f t="shared" si="27"/>
        <v>103.08641975308642</v>
      </c>
      <c r="T23" s="52">
        <v>18.5</v>
      </c>
      <c r="U23" s="52">
        <v>17.100000000000001</v>
      </c>
      <c r="W23" s="61"/>
    </row>
    <row r="24" spans="1:23" ht="51" customHeight="1" x14ac:dyDescent="0.4">
      <c r="A24" s="23">
        <v>4</v>
      </c>
      <c r="B24" s="24" t="s">
        <v>19</v>
      </c>
      <c r="C24" s="24" t="s">
        <v>21</v>
      </c>
      <c r="D24" s="50">
        <f>5844+38658</f>
        <v>44502</v>
      </c>
      <c r="E24" s="50"/>
      <c r="F24" s="50"/>
      <c r="G24" s="2">
        <f t="shared" si="17"/>
        <v>-44502</v>
      </c>
      <c r="H24" s="3">
        <f t="shared" si="24"/>
        <v>0</v>
      </c>
      <c r="I24" s="4">
        <f t="shared" si="19"/>
        <v>0</v>
      </c>
      <c r="J24" s="4" t="e">
        <f t="shared" si="25"/>
        <v>#DIV/0!</v>
      </c>
      <c r="K24" s="50"/>
      <c r="L24" s="50"/>
      <c r="M24" s="53">
        <v>46559.6</v>
      </c>
      <c r="N24" s="52"/>
      <c r="O24" s="52"/>
      <c r="P24" s="5">
        <f t="shared" si="20"/>
        <v>-46559.6</v>
      </c>
      <c r="Q24" s="5">
        <v>0</v>
      </c>
      <c r="R24" s="5">
        <f t="shared" si="22"/>
        <v>0</v>
      </c>
      <c r="S24" s="5">
        <v>0</v>
      </c>
      <c r="T24" s="52"/>
      <c r="U24" s="52"/>
      <c r="W24" s="28"/>
    </row>
    <row r="25" spans="1:23" ht="30.9" x14ac:dyDescent="0.4">
      <c r="A25" s="23">
        <v>5</v>
      </c>
      <c r="B25" s="24" t="s">
        <v>22</v>
      </c>
      <c r="C25" s="24" t="s">
        <v>23</v>
      </c>
      <c r="D25" s="50">
        <f>11823+106975+27468</f>
        <v>146266</v>
      </c>
      <c r="E25" s="50">
        <f>9000+100000+24000</f>
        <v>133000</v>
      </c>
      <c r="F25" s="50">
        <f>9000+100000+24000</f>
        <v>133000</v>
      </c>
      <c r="G25" s="2">
        <f t="shared" si="17"/>
        <v>-13266</v>
      </c>
      <c r="H25" s="3">
        <f t="shared" si="24"/>
        <v>90.930223018336449</v>
      </c>
      <c r="I25" s="4">
        <f t="shared" si="19"/>
        <v>0</v>
      </c>
      <c r="J25" s="4">
        <f t="shared" si="25"/>
        <v>100</v>
      </c>
      <c r="K25" s="50">
        <f t="shared" ref="K25:L25" si="29">9000+100000+24000</f>
        <v>133000</v>
      </c>
      <c r="L25" s="50">
        <f t="shared" si="29"/>
        <v>133000</v>
      </c>
      <c r="M25" s="53">
        <v>78564</v>
      </c>
      <c r="N25" s="52">
        <v>67091.3</v>
      </c>
      <c r="O25" s="52">
        <v>72365.600000000006</v>
      </c>
      <c r="P25" s="5">
        <f t="shared" si="20"/>
        <v>-6198.3999999999942</v>
      </c>
      <c r="Q25" s="5">
        <f t="shared" si="28"/>
        <v>92.11038134514537</v>
      </c>
      <c r="R25" s="5">
        <f t="shared" si="22"/>
        <v>5274.3000000000029</v>
      </c>
      <c r="S25" s="5">
        <f t="shared" si="27"/>
        <v>107.86137695945675</v>
      </c>
      <c r="T25" s="52">
        <v>39052.019999999997</v>
      </c>
      <c r="U25" s="52">
        <v>35884.300000000003</v>
      </c>
      <c r="W25" s="28"/>
    </row>
    <row r="26" spans="1:23" ht="30.9" x14ac:dyDescent="0.4">
      <c r="A26" s="23">
        <v>6</v>
      </c>
      <c r="B26" s="24" t="s">
        <v>24</v>
      </c>
      <c r="C26" s="24" t="s">
        <v>25</v>
      </c>
      <c r="D26" s="50">
        <v>4262</v>
      </c>
      <c r="E26" s="50">
        <v>3750</v>
      </c>
      <c r="F26" s="50">
        <v>3750</v>
      </c>
      <c r="G26" s="2">
        <f t="shared" si="17"/>
        <v>-512</v>
      </c>
      <c r="H26" s="3">
        <f t="shared" si="24"/>
        <v>87.986860628812764</v>
      </c>
      <c r="I26" s="4">
        <f t="shared" si="19"/>
        <v>0</v>
      </c>
      <c r="J26" s="4">
        <f t="shared" si="25"/>
        <v>100</v>
      </c>
      <c r="K26" s="50">
        <v>3750</v>
      </c>
      <c r="L26" s="50">
        <v>3750</v>
      </c>
      <c r="M26" s="53">
        <v>2289.3000000000002</v>
      </c>
      <c r="N26" s="52">
        <v>1891.7</v>
      </c>
      <c r="O26" s="52">
        <v>2040.39</v>
      </c>
      <c r="P26" s="5">
        <f t="shared" si="20"/>
        <v>-248.91000000000008</v>
      </c>
      <c r="Q26" s="5">
        <f t="shared" si="28"/>
        <v>89.127244135762012</v>
      </c>
      <c r="R26" s="5">
        <f t="shared" si="22"/>
        <v>148.69000000000005</v>
      </c>
      <c r="S26" s="5">
        <f t="shared" si="27"/>
        <v>107.86012581276101</v>
      </c>
      <c r="T26" s="52">
        <v>1101.0899999999999</v>
      </c>
      <c r="U26" s="52">
        <v>1011.8</v>
      </c>
      <c r="W26" s="27"/>
    </row>
    <row r="27" spans="1:23" ht="46.3" x14ac:dyDescent="0.4">
      <c r="A27" s="23">
        <v>7</v>
      </c>
      <c r="B27" s="24" t="s">
        <v>46</v>
      </c>
      <c r="C27" s="24" t="s">
        <v>25</v>
      </c>
      <c r="D27" s="50">
        <v>3431</v>
      </c>
      <c r="E27" s="50"/>
      <c r="F27" s="50"/>
      <c r="G27" s="2">
        <f t="shared" si="17"/>
        <v>-3431</v>
      </c>
      <c r="H27" s="3">
        <f t="shared" si="24"/>
        <v>0</v>
      </c>
      <c r="I27" s="4">
        <f t="shared" si="19"/>
        <v>0</v>
      </c>
      <c r="J27" s="4" t="e">
        <f t="shared" si="25"/>
        <v>#DIV/0!</v>
      </c>
      <c r="K27" s="50"/>
      <c r="L27" s="50"/>
      <c r="M27" s="53">
        <v>1842.9</v>
      </c>
      <c r="N27" s="52"/>
      <c r="O27" s="52"/>
      <c r="P27" s="5">
        <f t="shared" si="20"/>
        <v>-1842.9</v>
      </c>
      <c r="Q27" s="5">
        <f t="shared" si="28"/>
        <v>0</v>
      </c>
      <c r="R27" s="5">
        <f t="shared" si="22"/>
        <v>0</v>
      </c>
      <c r="S27" s="5" t="e">
        <f t="shared" si="27"/>
        <v>#DIV/0!</v>
      </c>
      <c r="T27" s="52"/>
      <c r="U27" s="52"/>
      <c r="W27" s="28"/>
    </row>
    <row r="28" spans="1:23" ht="30.9" x14ac:dyDescent="0.4">
      <c r="A28" s="23">
        <v>8</v>
      </c>
      <c r="B28" s="24" t="s">
        <v>75</v>
      </c>
      <c r="C28" s="24" t="s">
        <v>27</v>
      </c>
      <c r="D28" s="50"/>
      <c r="E28" s="50">
        <v>12000</v>
      </c>
      <c r="F28" s="50">
        <v>12000</v>
      </c>
      <c r="G28" s="2">
        <f t="shared" ref="G28" si="30">SUM(F28-D28)</f>
        <v>12000</v>
      </c>
      <c r="H28" s="3" t="e">
        <f t="shared" ref="H28" si="31">SUM(F28/D28)*100</f>
        <v>#DIV/0!</v>
      </c>
      <c r="I28" s="4">
        <f t="shared" ref="I28" si="32">SUM(F28-E28)</f>
        <v>0</v>
      </c>
      <c r="J28" s="4">
        <f t="shared" ref="J28" si="33">SUM(F28/E28)*100</f>
        <v>100</v>
      </c>
      <c r="K28" s="50">
        <v>12000</v>
      </c>
      <c r="L28" s="50">
        <v>12000</v>
      </c>
      <c r="M28" s="53"/>
      <c r="N28" s="52">
        <v>6053.3</v>
      </c>
      <c r="O28" s="52">
        <v>6529.3</v>
      </c>
      <c r="P28" s="5">
        <f t="shared" ref="P28" si="34">SUM(O28-M28)</f>
        <v>6529.3</v>
      </c>
      <c r="Q28" s="5" t="e">
        <f t="shared" ref="Q28" si="35">SUM(O28/M28)*100</f>
        <v>#DIV/0!</v>
      </c>
      <c r="R28" s="5">
        <f>SUM(O28-N28)</f>
        <v>476</v>
      </c>
      <c r="S28" s="5">
        <f t="shared" ref="S28" si="36">SUM(O28/N28)*100</f>
        <v>107.86347942444617</v>
      </c>
      <c r="T28" s="52">
        <v>3523.49</v>
      </c>
      <c r="U28" s="52">
        <v>3237.6</v>
      </c>
      <c r="W28" s="28"/>
    </row>
    <row r="29" spans="1:23" ht="30.9" x14ac:dyDescent="0.4">
      <c r="A29" s="23">
        <v>9</v>
      </c>
      <c r="B29" s="24" t="s">
        <v>26</v>
      </c>
      <c r="C29" s="24" t="s">
        <v>27</v>
      </c>
      <c r="D29" s="50">
        <f>11301+12133+27751</f>
        <v>51185</v>
      </c>
      <c r="E29" s="50">
        <f>8000+12100+15000</f>
        <v>35100</v>
      </c>
      <c r="F29" s="50">
        <f>8000+12100+15000</f>
        <v>35100</v>
      </c>
      <c r="G29" s="2">
        <f t="shared" si="17"/>
        <v>-16085</v>
      </c>
      <c r="H29" s="3">
        <f t="shared" si="24"/>
        <v>68.574777766923901</v>
      </c>
      <c r="I29" s="4">
        <f t="shared" si="19"/>
        <v>0</v>
      </c>
      <c r="J29" s="4">
        <f t="shared" si="25"/>
        <v>100</v>
      </c>
      <c r="K29" s="50">
        <f t="shared" ref="K29:L29" si="37">8000+12100+15000</f>
        <v>35100</v>
      </c>
      <c r="L29" s="50">
        <f t="shared" si="37"/>
        <v>35100</v>
      </c>
      <c r="M29" s="53">
        <v>28102.6</v>
      </c>
      <c r="N29" s="52">
        <v>21721.8</v>
      </c>
      <c r="O29" s="52">
        <v>22903.3</v>
      </c>
      <c r="P29" s="5">
        <f t="shared" si="20"/>
        <v>-5199.2999999999993</v>
      </c>
      <c r="Q29" s="5">
        <f t="shared" si="28"/>
        <v>81.498864873712748</v>
      </c>
      <c r="R29" s="5">
        <f>SUM(O29-N29)</f>
        <v>1181.5</v>
      </c>
      <c r="S29" s="5">
        <f t="shared" si="27"/>
        <v>105.43923615906601</v>
      </c>
      <c r="T29" s="52">
        <v>13180.2</v>
      </c>
      <c r="U29" s="52">
        <v>12268.7</v>
      </c>
      <c r="W29" s="28"/>
    </row>
    <row r="30" spans="1:23" ht="46.3" x14ac:dyDescent="0.4">
      <c r="A30" s="23">
        <v>10</v>
      </c>
      <c r="B30" s="24" t="s">
        <v>28</v>
      </c>
      <c r="C30" s="24" t="s">
        <v>29</v>
      </c>
      <c r="D30" s="50">
        <v>114</v>
      </c>
      <c r="E30" s="50">
        <v>110</v>
      </c>
      <c r="F30" s="50">
        <v>110</v>
      </c>
      <c r="G30" s="2">
        <f t="shared" si="17"/>
        <v>-4</v>
      </c>
      <c r="H30" s="3">
        <f t="shared" si="24"/>
        <v>96.491228070175438</v>
      </c>
      <c r="I30" s="4">
        <f t="shared" si="19"/>
        <v>0</v>
      </c>
      <c r="J30" s="4">
        <f t="shared" si="25"/>
        <v>100</v>
      </c>
      <c r="K30" s="50">
        <v>110</v>
      </c>
      <c r="L30" s="50">
        <v>110</v>
      </c>
      <c r="M30" s="53">
        <v>62.6</v>
      </c>
      <c r="N30" s="52">
        <v>68.099999999999994</v>
      </c>
      <c r="O30" s="52">
        <v>71.8</v>
      </c>
      <c r="P30" s="5">
        <f t="shared" si="20"/>
        <v>9.1999999999999957</v>
      </c>
      <c r="Q30" s="5">
        <f t="shared" si="28"/>
        <v>114.69648562300318</v>
      </c>
      <c r="R30" s="5">
        <f t="shared" si="22"/>
        <v>3.7000000000000028</v>
      </c>
      <c r="S30" s="5">
        <f t="shared" si="27"/>
        <v>105.43318649045521</v>
      </c>
      <c r="T30" s="52">
        <v>41.3</v>
      </c>
      <c r="U30" s="52">
        <v>38.5</v>
      </c>
      <c r="W30" s="27"/>
    </row>
    <row r="31" spans="1:23" ht="30.9" x14ac:dyDescent="0.4">
      <c r="A31" s="23">
        <v>11</v>
      </c>
      <c r="B31" s="24" t="s">
        <v>30</v>
      </c>
      <c r="C31" s="24" t="s">
        <v>31</v>
      </c>
      <c r="D31" s="50">
        <f>46+11</f>
        <v>57</v>
      </c>
      <c r="E31" s="50">
        <v>41</v>
      </c>
      <c r="F31" s="50">
        <v>41</v>
      </c>
      <c r="G31" s="2">
        <f t="shared" si="17"/>
        <v>-16</v>
      </c>
      <c r="H31" s="3">
        <f t="shared" si="24"/>
        <v>71.929824561403507</v>
      </c>
      <c r="I31" s="4">
        <f t="shared" si="19"/>
        <v>0</v>
      </c>
      <c r="J31" s="4">
        <f t="shared" si="25"/>
        <v>100</v>
      </c>
      <c r="K31" s="50">
        <v>41</v>
      </c>
      <c r="L31" s="50">
        <v>41</v>
      </c>
      <c r="M31" s="53">
        <v>31.3</v>
      </c>
      <c r="N31" s="52">
        <v>25.4</v>
      </c>
      <c r="O31" s="52">
        <v>26.7</v>
      </c>
      <c r="P31" s="5">
        <f t="shared" si="20"/>
        <v>-4.6000000000000014</v>
      </c>
      <c r="Q31" s="5">
        <f t="shared" si="28"/>
        <v>85.303514376996802</v>
      </c>
      <c r="R31" s="5">
        <f t="shared" si="22"/>
        <v>1.3000000000000007</v>
      </c>
      <c r="S31" s="5">
        <f t="shared" si="27"/>
        <v>105.11811023622049</v>
      </c>
      <c r="T31" s="52">
        <v>15.4</v>
      </c>
      <c r="U31" s="52">
        <v>14.3</v>
      </c>
      <c r="W31" s="29"/>
    </row>
    <row r="32" spans="1:23" ht="30.9" x14ac:dyDescent="0.4">
      <c r="A32" s="23">
        <v>12</v>
      </c>
      <c r="B32" s="24" t="s">
        <v>32</v>
      </c>
      <c r="C32" s="24" t="s">
        <v>33</v>
      </c>
      <c r="D32" s="50">
        <f>17+9+9+34+39+82</f>
        <v>190</v>
      </c>
      <c r="E32" s="50">
        <f>20+10+12+36+40+74+16</f>
        <v>208</v>
      </c>
      <c r="F32" s="50">
        <f>20+10+12+36+40+74+16</f>
        <v>208</v>
      </c>
      <c r="G32" s="2">
        <f t="shared" si="17"/>
        <v>18</v>
      </c>
      <c r="H32" s="3">
        <f t="shared" si="24"/>
        <v>109.47368421052633</v>
      </c>
      <c r="I32" s="4">
        <f t="shared" si="19"/>
        <v>0</v>
      </c>
      <c r="J32" s="4">
        <f t="shared" si="25"/>
        <v>100</v>
      </c>
      <c r="K32" s="50">
        <f t="shared" ref="K32:L32" si="38">20+10+12+36+40+74+16</f>
        <v>208</v>
      </c>
      <c r="L32" s="50">
        <f t="shared" si="38"/>
        <v>208</v>
      </c>
      <c r="M32" s="53">
        <f>43622.7+38343.5</f>
        <v>81966.2</v>
      </c>
      <c r="N32" s="52">
        <f>49616.8+38450.4</f>
        <v>88067.200000000012</v>
      </c>
      <c r="O32" s="52">
        <f>51971.9+39966.2</f>
        <v>91938.1</v>
      </c>
      <c r="P32" s="5">
        <f t="shared" si="20"/>
        <v>9971.9000000000087</v>
      </c>
      <c r="Q32" s="5">
        <f t="shared" si="28"/>
        <v>112.16586837013307</v>
      </c>
      <c r="R32" s="5">
        <f t="shared" si="22"/>
        <v>3870.8999999999942</v>
      </c>
      <c r="S32" s="5">
        <f t="shared" si="27"/>
        <v>104.39539351767739</v>
      </c>
      <c r="T32" s="52">
        <f>28165.1+20743.3</f>
        <v>48908.399999999994</v>
      </c>
      <c r="U32" s="52">
        <f>25933.3+18859.1</f>
        <v>44792.399999999994</v>
      </c>
      <c r="W32" s="29"/>
    </row>
    <row r="33" spans="1:23" ht="30.9" x14ac:dyDescent="0.4">
      <c r="A33" s="23">
        <v>13</v>
      </c>
      <c r="B33" s="24" t="s">
        <v>34</v>
      </c>
      <c r="C33" s="24" t="s">
        <v>33</v>
      </c>
      <c r="D33" s="50">
        <f>4+16</f>
        <v>20</v>
      </c>
      <c r="E33" s="50">
        <v>5</v>
      </c>
      <c r="F33" s="50">
        <v>5</v>
      </c>
      <c r="G33" s="2">
        <f t="shared" si="17"/>
        <v>-15</v>
      </c>
      <c r="H33" s="3">
        <f t="shared" si="24"/>
        <v>25</v>
      </c>
      <c r="I33" s="4">
        <f t="shared" si="19"/>
        <v>0</v>
      </c>
      <c r="J33" s="4">
        <f t="shared" si="25"/>
        <v>100</v>
      </c>
      <c r="K33" s="50">
        <v>5</v>
      </c>
      <c r="L33" s="50">
        <v>5</v>
      </c>
      <c r="M33" s="53">
        <f>2528.9+5070.2</f>
        <v>7599.1</v>
      </c>
      <c r="N33" s="52">
        <f>3180.6+5396.6</f>
        <v>8577.2000000000007</v>
      </c>
      <c r="O33" s="52">
        <f>3331.5+5609.3</f>
        <v>8940.7999999999993</v>
      </c>
      <c r="P33" s="5">
        <f t="shared" si="20"/>
        <v>1341.6999999999989</v>
      </c>
      <c r="Q33" s="5">
        <f t="shared" si="28"/>
        <v>117.65603821505178</v>
      </c>
      <c r="R33" s="5">
        <f t="shared" si="22"/>
        <v>363.59999999999854</v>
      </c>
      <c r="S33" s="5">
        <f t="shared" si="27"/>
        <v>104.23914564193441</v>
      </c>
      <c r="T33" s="52">
        <f>1805.5+2911.3</f>
        <v>4716.8</v>
      </c>
      <c r="U33" s="52">
        <f>1662.4+2646.9</f>
        <v>4309.3</v>
      </c>
      <c r="W33" s="30"/>
    </row>
    <row r="34" spans="1:23" ht="30.9" x14ac:dyDescent="0.4">
      <c r="A34" s="23">
        <v>14</v>
      </c>
      <c r="B34" s="49" t="s">
        <v>54</v>
      </c>
      <c r="C34" s="49" t="s">
        <v>33</v>
      </c>
      <c r="D34" s="50">
        <v>14965</v>
      </c>
      <c r="E34" s="50">
        <v>9525</v>
      </c>
      <c r="F34" s="50">
        <v>9525</v>
      </c>
      <c r="G34" s="2">
        <f t="shared" si="17"/>
        <v>-5440</v>
      </c>
      <c r="H34" s="3">
        <f t="shared" si="24"/>
        <v>63.648513197460744</v>
      </c>
      <c r="I34" s="4">
        <f t="shared" si="19"/>
        <v>0</v>
      </c>
      <c r="J34" s="4">
        <f t="shared" si="25"/>
        <v>100</v>
      </c>
      <c r="K34" s="50">
        <v>9525</v>
      </c>
      <c r="L34" s="50">
        <v>9525</v>
      </c>
      <c r="M34" s="53">
        <v>9126.9</v>
      </c>
      <c r="N34" s="52">
        <v>9894.9</v>
      </c>
      <c r="O34" s="52">
        <v>10666.8</v>
      </c>
      <c r="P34" s="5">
        <f t="shared" si="20"/>
        <v>1539.8999999999996</v>
      </c>
      <c r="Q34" s="5">
        <f t="shared" si="28"/>
        <v>116.8721033428656</v>
      </c>
      <c r="R34" s="5">
        <f t="shared" si="22"/>
        <v>771.89999999999964</v>
      </c>
      <c r="S34" s="5">
        <f t="shared" si="27"/>
        <v>107.80098838795742</v>
      </c>
      <c r="T34" s="52">
        <v>5855.5</v>
      </c>
      <c r="U34" s="52">
        <v>5401.6</v>
      </c>
      <c r="W34" s="29"/>
    </row>
    <row r="35" spans="1:23" ht="30.9" x14ac:dyDescent="0.4">
      <c r="A35" s="23">
        <v>15</v>
      </c>
      <c r="B35" s="49" t="s">
        <v>55</v>
      </c>
      <c r="C35" s="49" t="s">
        <v>33</v>
      </c>
      <c r="D35" s="50">
        <v>48</v>
      </c>
      <c r="E35" s="50">
        <f>36+12</f>
        <v>48</v>
      </c>
      <c r="F35" s="50">
        <f>36+12</f>
        <v>48</v>
      </c>
      <c r="G35" s="2">
        <f t="shared" si="17"/>
        <v>0</v>
      </c>
      <c r="H35" s="3">
        <f t="shared" si="24"/>
        <v>100</v>
      </c>
      <c r="I35" s="4">
        <f t="shared" si="19"/>
        <v>0</v>
      </c>
      <c r="J35" s="4">
        <f t="shared" si="25"/>
        <v>100</v>
      </c>
      <c r="K35" s="50">
        <f t="shared" ref="K35:L35" si="39">36+12</f>
        <v>48</v>
      </c>
      <c r="L35" s="50">
        <f t="shared" si="39"/>
        <v>48</v>
      </c>
      <c r="M35" s="53">
        <v>8099.8</v>
      </c>
      <c r="N35" s="52">
        <v>8588</v>
      </c>
      <c r="O35" s="52">
        <v>9258.1</v>
      </c>
      <c r="P35" s="5">
        <f t="shared" si="20"/>
        <v>1158.3000000000002</v>
      </c>
      <c r="Q35" s="5">
        <f t="shared" si="28"/>
        <v>114.30035309513815</v>
      </c>
      <c r="R35" s="5">
        <f t="shared" si="22"/>
        <v>670.10000000000036</v>
      </c>
      <c r="S35" s="5">
        <f t="shared" si="27"/>
        <v>107.80274802049372</v>
      </c>
      <c r="T35" s="52">
        <v>5082.2</v>
      </c>
      <c r="U35" s="52">
        <v>4688.2</v>
      </c>
      <c r="W35" s="30"/>
    </row>
    <row r="36" spans="1:23" ht="123.45" x14ac:dyDescent="0.4">
      <c r="A36" s="23">
        <v>16</v>
      </c>
      <c r="B36" s="49" t="s">
        <v>56</v>
      </c>
      <c r="C36" s="49" t="s">
        <v>35</v>
      </c>
      <c r="D36" s="50">
        <v>574</v>
      </c>
      <c r="E36" s="50">
        <f>58+192+59+12+78+126+42+11+10</f>
        <v>588</v>
      </c>
      <c r="F36" s="50">
        <f>58+192+59+12+78+126+42+11+10</f>
        <v>588</v>
      </c>
      <c r="G36" s="2">
        <f t="shared" si="17"/>
        <v>14</v>
      </c>
      <c r="H36" s="3">
        <f t="shared" si="24"/>
        <v>102.4390243902439</v>
      </c>
      <c r="I36" s="4">
        <f t="shared" si="19"/>
        <v>0</v>
      </c>
      <c r="J36" s="4">
        <f t="shared" si="25"/>
        <v>100</v>
      </c>
      <c r="K36" s="50">
        <f t="shared" ref="K36:L36" si="40">58+192+59+12+78+126+42+11+10</f>
        <v>588</v>
      </c>
      <c r="L36" s="50">
        <f t="shared" si="40"/>
        <v>588</v>
      </c>
      <c r="M36" s="53">
        <v>96859.8</v>
      </c>
      <c r="N36" s="52">
        <v>105203</v>
      </c>
      <c r="O36" s="52">
        <v>113410.7</v>
      </c>
      <c r="P36" s="5">
        <f t="shared" si="20"/>
        <v>16550.899999999994</v>
      </c>
      <c r="Q36" s="5">
        <f t="shared" si="28"/>
        <v>117.08748108090251</v>
      </c>
      <c r="R36" s="5">
        <f t="shared" si="22"/>
        <v>8207.6999999999971</v>
      </c>
      <c r="S36" s="5">
        <f t="shared" si="27"/>
        <v>107.80177371367736</v>
      </c>
      <c r="T36" s="52">
        <v>62256.6</v>
      </c>
      <c r="U36" s="52">
        <v>57430.400000000001</v>
      </c>
    </row>
    <row r="37" spans="1:23" ht="15.45" x14ac:dyDescent="0.4">
      <c r="A37" s="23">
        <v>17</v>
      </c>
      <c r="B37" s="24" t="s">
        <v>48</v>
      </c>
      <c r="C37" s="24" t="s">
        <v>17</v>
      </c>
      <c r="D37" s="50">
        <v>6345</v>
      </c>
      <c r="E37" s="50">
        <v>5000</v>
      </c>
      <c r="F37" s="50">
        <v>5000</v>
      </c>
      <c r="G37" s="2">
        <f t="shared" si="17"/>
        <v>-1345</v>
      </c>
      <c r="H37" s="3">
        <f t="shared" si="24"/>
        <v>78.802206461780926</v>
      </c>
      <c r="I37" s="4">
        <f t="shared" si="19"/>
        <v>0</v>
      </c>
      <c r="J37" s="4">
        <f t="shared" si="25"/>
        <v>100</v>
      </c>
      <c r="K37" s="50">
        <v>5000</v>
      </c>
      <c r="L37" s="50">
        <v>5000</v>
      </c>
      <c r="M37" s="53">
        <v>6638.4</v>
      </c>
      <c r="N37" s="52">
        <v>4627.8999999999996</v>
      </c>
      <c r="O37" s="52">
        <v>4767.5</v>
      </c>
      <c r="P37" s="5">
        <f t="shared" si="20"/>
        <v>-1870.8999999999996</v>
      </c>
      <c r="Q37" s="5">
        <f t="shared" si="28"/>
        <v>71.817004097372859</v>
      </c>
      <c r="R37" s="5">
        <f t="shared" si="22"/>
        <v>139.60000000000036</v>
      </c>
      <c r="S37" s="5">
        <f t="shared" si="27"/>
        <v>103.01648695952809</v>
      </c>
      <c r="T37" s="52">
        <v>2647.2</v>
      </c>
      <c r="U37" s="52">
        <v>2448.4</v>
      </c>
    </row>
    <row r="38" spans="1:23" ht="30.9" x14ac:dyDescent="0.4">
      <c r="A38" s="89">
        <v>18</v>
      </c>
      <c r="B38" s="98" t="s">
        <v>36</v>
      </c>
      <c r="C38" s="24" t="s">
        <v>33</v>
      </c>
      <c r="D38" s="50">
        <v>80500</v>
      </c>
      <c r="E38" s="50">
        <v>87737</v>
      </c>
      <c r="F38" s="50">
        <v>87737</v>
      </c>
      <c r="G38" s="2">
        <f t="shared" si="17"/>
        <v>7237</v>
      </c>
      <c r="H38" s="3">
        <f t="shared" si="24"/>
        <v>108.99006211180125</v>
      </c>
      <c r="I38" s="4">
        <f t="shared" si="19"/>
        <v>0</v>
      </c>
      <c r="J38" s="4">
        <f t="shared" si="25"/>
        <v>100</v>
      </c>
      <c r="K38" s="50">
        <v>87737</v>
      </c>
      <c r="L38" s="50">
        <v>87737</v>
      </c>
      <c r="M38" s="53">
        <v>29787.4</v>
      </c>
      <c r="N38" s="52">
        <v>43090.2</v>
      </c>
      <c r="O38" s="52">
        <v>49957.3</v>
      </c>
      <c r="P38" s="5">
        <f>SUM(O38-M38)</f>
        <v>20169.900000000001</v>
      </c>
      <c r="Q38" s="5">
        <f t="shared" si="28"/>
        <v>167.71285845693146</v>
      </c>
      <c r="R38" s="5">
        <f t="shared" si="22"/>
        <v>6867.1000000000058</v>
      </c>
      <c r="S38" s="5">
        <f t="shared" si="27"/>
        <v>115.93657026423642</v>
      </c>
      <c r="T38" s="52">
        <v>23303.9</v>
      </c>
      <c r="U38" s="52">
        <v>20805.099999999999</v>
      </c>
    </row>
    <row r="39" spans="1:23" ht="15.45" x14ac:dyDescent="0.4">
      <c r="A39" s="97"/>
      <c r="B39" s="99"/>
      <c r="C39" s="24" t="s">
        <v>41</v>
      </c>
      <c r="D39" s="37">
        <v>2206422</v>
      </c>
      <c r="E39" s="37">
        <v>2205899</v>
      </c>
      <c r="F39" s="37">
        <v>2205899</v>
      </c>
      <c r="G39" s="2">
        <f t="shared" si="17"/>
        <v>-523</v>
      </c>
      <c r="H39" s="3">
        <f t="shared" si="24"/>
        <v>99.976296465499345</v>
      </c>
      <c r="I39" s="4">
        <f t="shared" si="19"/>
        <v>0</v>
      </c>
      <c r="J39" s="4">
        <f t="shared" si="25"/>
        <v>100</v>
      </c>
      <c r="K39" s="37">
        <v>2205899</v>
      </c>
      <c r="L39" s="37">
        <v>2205899</v>
      </c>
      <c r="M39" s="53">
        <v>6332.4</v>
      </c>
      <c r="N39" s="52">
        <v>6772.1</v>
      </c>
      <c r="O39" s="52">
        <v>6772.1</v>
      </c>
      <c r="P39" s="5">
        <f t="shared" si="20"/>
        <v>439.70000000000073</v>
      </c>
      <c r="Q39" s="5">
        <f t="shared" si="28"/>
        <v>106.94365485439961</v>
      </c>
      <c r="R39" s="5">
        <f t="shared" si="22"/>
        <v>0</v>
      </c>
      <c r="S39" s="5">
        <f t="shared" si="27"/>
        <v>100</v>
      </c>
      <c r="T39" s="52">
        <v>6772.1</v>
      </c>
      <c r="U39" s="52">
        <v>6772.1</v>
      </c>
    </row>
    <row r="40" spans="1:23" ht="30.9" x14ac:dyDescent="0.4">
      <c r="A40" s="17">
        <v>19</v>
      </c>
      <c r="B40" s="31" t="s">
        <v>49</v>
      </c>
      <c r="C40" s="26" t="s">
        <v>50</v>
      </c>
      <c r="D40" s="37">
        <v>84</v>
      </c>
      <c r="E40" s="37">
        <v>84</v>
      </c>
      <c r="F40" s="37">
        <v>84</v>
      </c>
      <c r="G40" s="2">
        <f t="shared" si="17"/>
        <v>0</v>
      </c>
      <c r="H40" s="3">
        <f t="shared" si="24"/>
        <v>100</v>
      </c>
      <c r="I40" s="4">
        <f t="shared" si="19"/>
        <v>0</v>
      </c>
      <c r="J40" s="4">
        <f t="shared" si="25"/>
        <v>100</v>
      </c>
      <c r="K40" s="37">
        <v>84</v>
      </c>
      <c r="L40" s="37">
        <v>84</v>
      </c>
      <c r="M40" s="53">
        <v>1142.5</v>
      </c>
      <c r="N40" s="52">
        <v>4428.2</v>
      </c>
      <c r="O40" s="52">
        <v>4428.2</v>
      </c>
      <c r="P40" s="5">
        <f t="shared" si="20"/>
        <v>3285.7</v>
      </c>
      <c r="Q40" s="5">
        <f t="shared" si="28"/>
        <v>387.58862144420129</v>
      </c>
      <c r="R40" s="5">
        <f t="shared" si="22"/>
        <v>0</v>
      </c>
      <c r="S40" s="5">
        <f t="shared" si="27"/>
        <v>100</v>
      </c>
      <c r="T40" s="52">
        <v>4428.2</v>
      </c>
      <c r="U40" s="52">
        <v>4428.2</v>
      </c>
    </row>
    <row r="41" spans="1:23" ht="46.3" x14ac:dyDescent="0.4">
      <c r="A41" s="23">
        <v>20</v>
      </c>
      <c r="B41" s="26" t="s">
        <v>37</v>
      </c>
      <c r="C41" s="26" t="s">
        <v>38</v>
      </c>
      <c r="D41" s="37">
        <v>66</v>
      </c>
      <c r="E41" s="37">
        <v>40</v>
      </c>
      <c r="F41" s="37">
        <v>40</v>
      </c>
      <c r="G41" s="2">
        <f t="shared" si="17"/>
        <v>-26</v>
      </c>
      <c r="H41" s="3">
        <f t="shared" si="24"/>
        <v>60.606060606060609</v>
      </c>
      <c r="I41" s="4">
        <f t="shared" si="19"/>
        <v>0</v>
      </c>
      <c r="J41" s="4">
        <f t="shared" si="25"/>
        <v>100</v>
      </c>
      <c r="K41" s="37">
        <v>40</v>
      </c>
      <c r="L41" s="37">
        <v>40</v>
      </c>
      <c r="M41" s="53">
        <v>5690.9</v>
      </c>
      <c r="N41" s="52">
        <v>5151.8</v>
      </c>
      <c r="O41" s="52">
        <v>5151.8</v>
      </c>
      <c r="P41" s="5">
        <f t="shared" si="20"/>
        <v>-539.09999999999945</v>
      </c>
      <c r="Q41" s="5">
        <f t="shared" si="28"/>
        <v>90.526981672494685</v>
      </c>
      <c r="R41" s="5">
        <f t="shared" si="22"/>
        <v>0</v>
      </c>
      <c r="S41" s="5">
        <f t="shared" si="27"/>
        <v>100</v>
      </c>
      <c r="T41" s="52">
        <v>5151.8</v>
      </c>
      <c r="U41" s="52">
        <v>5151.8</v>
      </c>
    </row>
    <row r="42" spans="1:23" ht="75" x14ac:dyDescent="0.4">
      <c r="A42" s="62" t="s">
        <v>63</v>
      </c>
      <c r="B42" s="63" t="s">
        <v>59</v>
      </c>
      <c r="C42" s="64"/>
      <c r="D42" s="41" t="s">
        <v>45</v>
      </c>
      <c r="E42" s="41" t="s">
        <v>45</v>
      </c>
      <c r="F42" s="41" t="s">
        <v>45</v>
      </c>
      <c r="G42" s="41" t="s">
        <v>45</v>
      </c>
      <c r="H42" s="41" t="s">
        <v>45</v>
      </c>
      <c r="I42" s="41" t="s">
        <v>45</v>
      </c>
      <c r="J42" s="41" t="s">
        <v>45</v>
      </c>
      <c r="K42" s="41" t="s">
        <v>45</v>
      </c>
      <c r="L42" s="41" t="s">
        <v>45</v>
      </c>
      <c r="M42" s="42">
        <f>SUM(M43:M45)</f>
        <v>16751.099999999999</v>
      </c>
      <c r="N42" s="42">
        <f>SUM(N43:N46)</f>
        <v>13144</v>
      </c>
      <c r="O42" s="42">
        <f>SUM(O43:O46)</f>
        <v>14999.969753187681</v>
      </c>
      <c r="P42" s="43">
        <f t="shared" si="20"/>
        <v>-1751.1302468123176</v>
      </c>
      <c r="Q42" s="43">
        <f t="shared" si="28"/>
        <v>89.546177583488145</v>
      </c>
      <c r="R42" s="43">
        <f t="shared" si="22"/>
        <v>1855.9697531876809</v>
      </c>
      <c r="S42" s="43">
        <f t="shared" si="27"/>
        <v>114.12028114111139</v>
      </c>
      <c r="T42" s="42">
        <f>SUM(T43:T46)</f>
        <v>6428.0684969589365</v>
      </c>
      <c r="U42" s="42">
        <f>SUM(U43:U46)</f>
        <v>5956.9159738473136</v>
      </c>
    </row>
    <row r="43" spans="1:23" ht="15.45" x14ac:dyDescent="0.4">
      <c r="A43" s="89" t="s">
        <v>64</v>
      </c>
      <c r="B43" s="87" t="s">
        <v>60</v>
      </c>
      <c r="C43" s="26" t="s">
        <v>62</v>
      </c>
      <c r="D43" s="37">
        <v>1076378.25</v>
      </c>
      <c r="E43" s="37">
        <v>363100</v>
      </c>
      <c r="F43" s="37">
        <v>0</v>
      </c>
      <c r="G43" s="2">
        <f t="shared" ref="G43:G46" si="41">SUM(F43-D43)</f>
        <v>-1076378.25</v>
      </c>
      <c r="H43" s="3">
        <f t="shared" ref="H43:H46" si="42">SUM(F43/D43)*100</f>
        <v>0</v>
      </c>
      <c r="I43" s="4">
        <f t="shared" ref="I43:I46" si="43">SUM(F43-E43)</f>
        <v>-363100</v>
      </c>
      <c r="J43" s="4">
        <f t="shared" ref="J43:J46" si="44">SUM(F43/E43)*100</f>
        <v>0</v>
      </c>
      <c r="K43" s="51"/>
      <c r="L43" s="51"/>
      <c r="M43" s="53">
        <v>13691.6</v>
      </c>
      <c r="N43" s="52">
        <v>3064.6</v>
      </c>
      <c r="O43" s="52"/>
      <c r="P43" s="5">
        <f t="shared" si="20"/>
        <v>-13691.6</v>
      </c>
      <c r="Q43" s="5">
        <f t="shared" si="28"/>
        <v>0</v>
      </c>
      <c r="R43" s="5">
        <f t="shared" si="22"/>
        <v>-3064.6</v>
      </c>
      <c r="S43" s="5">
        <f t="shared" si="27"/>
        <v>0</v>
      </c>
      <c r="T43" s="52"/>
      <c r="U43" s="52"/>
    </row>
    <row r="44" spans="1:23" ht="15.45" x14ac:dyDescent="0.4">
      <c r="A44" s="90"/>
      <c r="B44" s="88"/>
      <c r="C44" s="26" t="s">
        <v>76</v>
      </c>
      <c r="D44" s="37"/>
      <c r="E44" s="37">
        <v>400</v>
      </c>
      <c r="F44" s="37">
        <v>600</v>
      </c>
      <c r="G44" s="2">
        <f t="shared" si="41"/>
        <v>600</v>
      </c>
      <c r="H44" s="3" t="e">
        <f t="shared" si="42"/>
        <v>#DIV/0!</v>
      </c>
      <c r="I44" s="4">
        <f t="shared" si="43"/>
        <v>200</v>
      </c>
      <c r="J44" s="4">
        <f t="shared" si="44"/>
        <v>150</v>
      </c>
      <c r="K44" s="51">
        <v>300</v>
      </c>
      <c r="L44" s="51">
        <v>200</v>
      </c>
      <c r="M44" s="53"/>
      <c r="N44" s="52">
        <v>838</v>
      </c>
      <c r="O44" s="52">
        <f>N44/E44*F44*1.1</f>
        <v>1382.7000000000003</v>
      </c>
      <c r="P44" s="5">
        <f t="shared" ref="P44" si="45">SUM(O44-M44)</f>
        <v>1382.7000000000003</v>
      </c>
      <c r="Q44" s="5" t="e">
        <f t="shared" ref="Q44" si="46">SUM(O44/M44)*100</f>
        <v>#DIV/0!</v>
      </c>
      <c r="R44" s="5">
        <f t="shared" si="22"/>
        <v>544.70000000000027</v>
      </c>
      <c r="S44" s="5">
        <f t="shared" si="27"/>
        <v>165.00000000000003</v>
      </c>
      <c r="T44" s="52">
        <f>O44/F44*K44*1.04</f>
        <v>719.00400000000013</v>
      </c>
      <c r="U44" s="52">
        <f>T44/K44*L44*1.04</f>
        <v>498.5094400000001</v>
      </c>
    </row>
    <row r="45" spans="1:23" ht="15.45" x14ac:dyDescent="0.4">
      <c r="A45" s="23" t="s">
        <v>65</v>
      </c>
      <c r="B45" s="26" t="s">
        <v>61</v>
      </c>
      <c r="C45" s="26" t="s">
        <v>62</v>
      </c>
      <c r="D45" s="37">
        <v>240529</v>
      </c>
      <c r="E45" s="37">
        <v>279880</v>
      </c>
      <c r="F45" s="37">
        <v>380000</v>
      </c>
      <c r="G45" s="2">
        <f t="shared" si="41"/>
        <v>139471</v>
      </c>
      <c r="H45" s="3">
        <f t="shared" si="42"/>
        <v>157.98510782483609</v>
      </c>
      <c r="I45" s="4">
        <f t="shared" si="43"/>
        <v>100120</v>
      </c>
      <c r="J45" s="4">
        <f t="shared" si="44"/>
        <v>135.77247391739317</v>
      </c>
      <c r="K45" s="51">
        <v>155000</v>
      </c>
      <c r="L45" s="51">
        <v>145000</v>
      </c>
      <c r="M45" s="53">
        <v>3059.5</v>
      </c>
      <c r="N45" s="52">
        <v>6907.3</v>
      </c>
      <c r="O45" s="52">
        <f t="shared" ref="O45" si="47">N45/E45*F45*1.1</f>
        <v>10316.033299985709</v>
      </c>
      <c r="P45" s="5">
        <f t="shared" si="20"/>
        <v>7256.5332999857092</v>
      </c>
      <c r="Q45" s="5">
        <f t="shared" si="28"/>
        <v>337.18036607242061</v>
      </c>
      <c r="R45" s="5">
        <f t="shared" si="22"/>
        <v>3408.733299985709</v>
      </c>
      <c r="S45" s="5">
        <f t="shared" si="27"/>
        <v>149.34972130913249</v>
      </c>
      <c r="T45" s="52">
        <f t="shared" ref="T45" si="48">O45/F45*K45*1.04</f>
        <v>4376.1699156781478</v>
      </c>
      <c r="U45" s="52">
        <f t="shared" ref="U45" si="49">T45/K45*L45*1.04</f>
        <v>4257.5898276404168</v>
      </c>
    </row>
    <row r="46" spans="1:23" ht="15.45" x14ac:dyDescent="0.4">
      <c r="A46" s="23">
        <v>3</v>
      </c>
      <c r="B46" s="26" t="s">
        <v>61</v>
      </c>
      <c r="C46" s="26" t="s">
        <v>76</v>
      </c>
      <c r="D46" s="36"/>
      <c r="E46" s="37">
        <v>1015</v>
      </c>
      <c r="F46" s="37">
        <v>1300</v>
      </c>
      <c r="G46" s="2">
        <f t="shared" si="41"/>
        <v>1300</v>
      </c>
      <c r="H46" s="3" t="e">
        <f t="shared" si="42"/>
        <v>#DIV/0!</v>
      </c>
      <c r="I46" s="4">
        <f t="shared" si="43"/>
        <v>285</v>
      </c>
      <c r="J46" s="4">
        <f t="shared" si="44"/>
        <v>128.07881773399015</v>
      </c>
      <c r="K46" s="51">
        <v>500</v>
      </c>
      <c r="L46" s="51">
        <v>420</v>
      </c>
      <c r="M46" s="53"/>
      <c r="N46" s="52">
        <v>2334.1</v>
      </c>
      <c r="O46" s="52">
        <f>N46/E46*F46*1.1+12.8</f>
        <v>3301.236453201971</v>
      </c>
      <c r="P46" s="5">
        <f t="shared" ref="P46" si="50">SUM(O46-M46)</f>
        <v>3301.236453201971</v>
      </c>
      <c r="Q46" s="5" t="e">
        <f t="shared" ref="Q46" si="51">SUM(O46/M46)*100</f>
        <v>#DIV/0!</v>
      </c>
      <c r="R46" s="5">
        <f t="shared" ref="R46" si="52">SUM(O46-N46)</f>
        <v>967.13645320197111</v>
      </c>
      <c r="S46" s="5">
        <f t="shared" si="27"/>
        <v>141.43509075026651</v>
      </c>
      <c r="T46" s="52">
        <f>O46/F46*K46*1.04+12.4</f>
        <v>1332.8945812807883</v>
      </c>
      <c r="U46" s="52">
        <f>T46/K46*L46*1.04+36.4</f>
        <v>1200.8167062068969</v>
      </c>
    </row>
    <row r="47" spans="1:23" ht="56.6" x14ac:dyDescent="0.4">
      <c r="A47" s="9"/>
      <c r="B47" s="10" t="s">
        <v>74</v>
      </c>
      <c r="C47" s="11"/>
      <c r="D47" s="12" t="s">
        <v>45</v>
      </c>
      <c r="E47" s="12" t="s">
        <v>45</v>
      </c>
      <c r="F47" s="12" t="s">
        <v>45</v>
      </c>
      <c r="G47" s="13" t="s">
        <v>45</v>
      </c>
      <c r="H47" s="13" t="s">
        <v>45</v>
      </c>
      <c r="I47" s="13" t="s">
        <v>45</v>
      </c>
      <c r="J47" s="13" t="s">
        <v>45</v>
      </c>
      <c r="K47" s="12" t="s">
        <v>45</v>
      </c>
      <c r="L47" s="12" t="s">
        <v>45</v>
      </c>
      <c r="M47" s="14">
        <f>M9+M42</f>
        <v>2333784.1</v>
      </c>
      <c r="N47" s="14">
        <f>N9+N42</f>
        <v>2547278.5200000005</v>
      </c>
      <c r="O47" s="14">
        <f>O9+O42</f>
        <v>2670728.9792595627</v>
      </c>
      <c r="P47" s="15">
        <f>SUM(O47-M47)</f>
        <v>336944.87925956259</v>
      </c>
      <c r="Q47" s="16">
        <f t="shared" ref="Q47" si="53">SUM(O47/M47)*100</f>
        <v>114.4377056669279</v>
      </c>
      <c r="R47" s="16">
        <f t="shared" ref="R47" si="54">SUM(O47-N47)</f>
        <v>123450.45925956219</v>
      </c>
      <c r="S47" s="16">
        <f t="shared" ref="S47" si="55">SUM(O47/N47)*100</f>
        <v>104.84636675142858</v>
      </c>
      <c r="T47" s="14">
        <f>T9+T42</f>
        <v>2260417.5054908772</v>
      </c>
      <c r="U47" s="14">
        <f>U9+U42</f>
        <v>2222199.7479215423</v>
      </c>
    </row>
    <row r="48" spans="1:23" ht="15.45" x14ac:dyDescent="0.4">
      <c r="B48" s="34"/>
      <c r="C48" s="34"/>
      <c r="D48" s="35"/>
      <c r="N48" s="32"/>
      <c r="O48" s="33"/>
    </row>
    <row r="49" spans="2:15" ht="15.45" x14ac:dyDescent="0.4">
      <c r="B49" s="1"/>
      <c r="C49" s="1"/>
      <c r="D49" s="1"/>
      <c r="N49" s="32"/>
      <c r="O49" s="33"/>
    </row>
    <row r="50" spans="2:15" ht="15.45" x14ac:dyDescent="0.4">
      <c r="N50" s="32"/>
      <c r="O50" s="33"/>
    </row>
    <row r="51" spans="2:15" x14ac:dyDescent="0.4">
      <c r="O51" s="33"/>
    </row>
  </sheetData>
  <autoFilter ref="A4:U4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</autoFilter>
  <mergeCells count="28">
    <mergeCell ref="B43:B44"/>
    <mergeCell ref="A43:A44"/>
    <mergeCell ref="U5:U7"/>
    <mergeCell ref="O6:O7"/>
    <mergeCell ref="P6:S6"/>
    <mergeCell ref="P7:Q7"/>
    <mergeCell ref="R7:S7"/>
    <mergeCell ref="C4:C8"/>
    <mergeCell ref="B4:B8"/>
    <mergeCell ref="D5:D7"/>
    <mergeCell ref="E5:E7"/>
    <mergeCell ref="T5:T7"/>
    <mergeCell ref="A38:A39"/>
    <mergeCell ref="B38:B39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</mergeCells>
  <pageMargins left="0" right="0" top="0.39370078740157483" bottom="0" header="0" footer="0"/>
  <pageSetup paperSize="9" scale="4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размещения на сайте</vt:lpstr>
      <vt:lpstr>'для размещения на сайте'!Область_печати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2025-11-14T06:48:37Z</dcterms:modified>
</cp:coreProperties>
</file>